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98" activeTab="0"/>
  </bookViews>
  <sheets>
    <sheet name="жовтень" sheetId="1" r:id="rId1"/>
    <sheet name="вересень" sheetId="2" r:id="rId2"/>
    <sheet name="серпень" sheetId="3" r:id="rId3"/>
    <sheet name="липень" sheetId="4" r:id="rId4"/>
    <sheet name="червень" sheetId="5" r:id="rId5"/>
    <sheet name="травень" sheetId="6" r:id="rId6"/>
    <sheet name="квітень" sheetId="7" r:id="rId7"/>
    <sheet name="березень" sheetId="8" r:id="rId8"/>
    <sheet name="лютий" sheetId="9" r:id="rId9"/>
    <sheet name="січень " sheetId="10" r:id="rId10"/>
  </sheets>
  <externalReferences>
    <externalReference r:id="rId13"/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<sst xmlns="http://schemas.openxmlformats.org/spreadsheetml/2006/main" count="2032" uniqueCount="286">
  <si>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</si>
  <si>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</si>
  <si>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</si>
  <si>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</si>
  <si>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</si>
  <si>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</si>
  <si>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</si>
  <si>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</si>
  <si>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</si>
  <si>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</si>
  <si>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</si>
  <si>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</si>
  <si>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</si>
  <si>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</si>
  <si>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</si>
  <si>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</si>
  <si>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</si>
  <si>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</si>
  <si>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</si>
  <si>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</si>
  <si>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</si>
  <si>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</si>
  <si>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</si>
  <si>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</si>
  <si>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</si>
  <si>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</si>
  <si>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</si>
  <si>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</si>
  <si>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</si>
  <si>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</si>
  <si>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</si>
  <si>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</si>
  <si>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</si>
  <si>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</si>
  <si>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</si>
  <si>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</si>
  <si>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</si>
  <si>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</si>
  <si>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</si>
  <si>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</si>
  <si>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</si>
  <si>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</si>
  <si>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</si>
  <si>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</si>
  <si>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</si>
  <si>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</si>
  <si>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</si>
  <si>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</si>
  <si>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</si>
  <si>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</si>
  <si>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</si>
  <si>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</si>
  <si>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</si>
  <si>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</si>
  <si>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</si>
  <si>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</si>
  <si>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</si>
  <si>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</si>
  <si>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</si>
  <si>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</si>
  <si>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</si>
  <si>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</si>
  <si>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</si>
  <si>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</si>
  <si>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</si>
  <si>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</si>
  <si>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</si>
  <si>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</si>
  <si>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</si>
  <si>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</si>
  <si>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</si>
  <si>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</si>
  <si>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</si>
  <si>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</si>
  <si>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</si>
  <si>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</si>
  <si>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</si>
  <si>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</si>
  <si>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</si>
  <si>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</si>
  <si>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</si>
  <si>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</si>
  <si>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</si>
  <si>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</si>
  <si>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</si>
  <si>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</si>
  <si>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</si>
  <si>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</si>
  <si>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</si>
  <si>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</si>
  <si>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</si>
  <si>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</si>
  <si>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</si>
  <si>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</si>
  <si>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</si>
  <si>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</si>
  <si>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</si>
  <si>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</si>
  <si>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</si>
  <si>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</si>
  <si>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</si>
  <si>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</si>
  <si>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</si>
  <si>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</si>
  <si>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</si>
  <si>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</si>
  <si>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</si>
  <si>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</si>
  <si>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</si>
  <si>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</si>
  <si>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</si>
  <si>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</si>
  <si>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</si>
  <si>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</si>
  <si>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</si>
  <si>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</si>
  <si>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</si>
  <si>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</si>
  <si>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</si>
  <si>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</si>
  <si>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</si>
  <si>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</si>
  <si>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</si>
  <si>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</si>
  <si>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</si>
  <si>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</si>
  <si>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</si>
  <si>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</si>
  <si>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</si>
  <si>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</si>
  <si>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</si>
  <si>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</si>
  <si>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</si>
  <si>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</si>
  <si>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</si>
  <si>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</si>
  <si>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</si>
  <si>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</si>
  <si>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</si>
  <si>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</si>
  <si>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</si>
  <si>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</si>
  <si>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</si>
  <si>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</si>
  <si>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</si>
  <si>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</si>
  <si>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</si>
  <si>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</si>
  <si>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</si>
  <si>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</si>
  <si>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</si>
  <si>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</si>
  <si>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</si>
  <si>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</si>
  <si>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</si>
  <si>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</si>
  <si>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</si>
  <si>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</si>
  <si>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</si>
  <si>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</si>
  <si>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</si>
  <si>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</si>
  <si>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</si>
  <si>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</si>
  <si>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</si>
  <si>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</si>
  <si>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</si>
  <si>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t>Необхідно ще отримати до плану на січень-лютий</t>
  </si>
  <si>
    <t>% виконання до плану на січень-лютий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</si>
  <si>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</si>
  <si>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</si>
  <si>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</si>
  <si>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</si>
  <si>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</si>
  <si>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</si>
  <si>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</si>
  <si>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</si>
  <si>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Динаміка  фактичних надходжень січень- 2013 та 2014 років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</si>
  <si>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</si>
  <si>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</si>
  <si>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</si>
  <si>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</si>
  <si>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</si>
  <si>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01.02.2014</t>
    </r>
    <r>
      <rPr>
        <b/>
        <sz val="16"/>
        <rFont val="Times New Roman"/>
        <family val="1"/>
      </rPr>
      <t>р.</t>
    </r>
  </si>
  <si>
    <t>Динаміка  фактичних надходжень січень-лютий 2013 та 2014 років</t>
  </si>
  <si>
    <t>Виконано у лютиму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</si>
  <si>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31.01.14 </t>
    </r>
    <r>
      <rPr>
        <b/>
        <sz val="10"/>
        <rFont val="Times New Roman"/>
        <family val="1"/>
      </rPr>
      <t>включно</t>
    </r>
  </si>
  <si>
    <t xml:space="preserve">Затверджений план на  2014 рік </t>
  </si>
  <si>
    <t>Відхилення (+,-) до  плану на рік</t>
  </si>
  <si>
    <t>% виконання  плану на рік</t>
  </si>
  <si>
    <t xml:space="preserve">Затверджений план на лютий  місяць  </t>
  </si>
  <si>
    <t>Затверджений план на січень-лютий</t>
  </si>
  <si>
    <t>Затверджений план на 2014 рік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</si>
  <si>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</si>
  <si>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28.02.14 </t>
    </r>
    <r>
      <rPr>
        <b/>
        <sz val="10"/>
        <rFont val="Times New Roman"/>
        <family val="1"/>
      </rPr>
      <t>включно</t>
    </r>
  </si>
  <si>
    <t>% виконання до плану на січень-березень</t>
  </si>
  <si>
    <t>Динаміка  фактичних надходжень січень-березень 2013 та 2014 років</t>
  </si>
  <si>
    <t>Динаміка  фактичних надходжень березень 2013 та 2014 років</t>
  </si>
  <si>
    <t>Виконано у березні</t>
  </si>
  <si>
    <t>Динаміка  фактичних надходжень лютий 2013 та 2014 років</t>
  </si>
  <si>
    <t xml:space="preserve">Затверджений план на січень  місяць  </t>
  </si>
  <si>
    <t>11</t>
  </si>
  <si>
    <t>12</t>
  </si>
  <si>
    <t>13</t>
  </si>
  <si>
    <t>14</t>
  </si>
  <si>
    <t>15</t>
  </si>
  <si>
    <t>16</t>
  </si>
  <si>
    <t>Відхилення до плану на січень-березень</t>
  </si>
  <si>
    <t>Затверджений план</t>
  </si>
  <si>
    <t xml:space="preserve"> на  2014 рік </t>
  </si>
  <si>
    <t xml:space="preserve">Затверджений план   </t>
  </si>
  <si>
    <t>на березень  місяць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</si>
  <si>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</si>
  <si>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31.03.14 </t>
    </r>
    <r>
      <rPr>
        <b/>
        <sz val="10"/>
        <rFont val="Times New Roman"/>
        <family val="1"/>
      </rPr>
      <t>включно</t>
    </r>
  </si>
  <si>
    <t xml:space="preserve"> на січень-березень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</si>
  <si>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(січень-лютий)</t>
    </r>
  </si>
  <si>
    <t xml:space="preserve"> на січень-квітень</t>
  </si>
  <si>
    <t>Відхилення до плану на січень-квітень</t>
  </si>
  <si>
    <t>% виконання до плану на січень-квітень</t>
  </si>
  <si>
    <t>Динаміка  фактичних надходжень січень-квітень 2013 та 2014 років</t>
  </si>
  <si>
    <t>на квітень  місяць</t>
  </si>
  <si>
    <t>Виконано у квітні</t>
  </si>
  <si>
    <t>Динаміка  фактичних надходжень квітень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</si>
  <si>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(січень-березень)</t>
    </r>
  </si>
  <si>
    <t>Уточнений план</t>
  </si>
  <si>
    <t xml:space="preserve">Уточнений план  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</si>
  <si>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</si>
  <si>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30.04.14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</si>
  <si>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січень-травень</t>
  </si>
  <si>
    <t>Відхилення до плану на січень-травень</t>
  </si>
  <si>
    <t>% виконання до плану на січень-травень</t>
  </si>
  <si>
    <t>Динаміка  фактичних надходжень січень-травень 2013 та 2014 років</t>
  </si>
  <si>
    <t>на травень  місяць</t>
  </si>
  <si>
    <t>Виконано у травні</t>
  </si>
  <si>
    <t>Динаміка  фактичних надходжень травень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</si>
  <si>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</si>
  <si>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30.05.14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</si>
  <si>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січень-червень</t>
  </si>
  <si>
    <t>Відхилення до плану на січень-червень</t>
  </si>
  <si>
    <t>% виконання до плану на січень-червень</t>
  </si>
  <si>
    <t>Динаміка  фактичних надходжень січень-червень 2013 та 2014 років</t>
  </si>
  <si>
    <t>на червень  місяць</t>
  </si>
  <si>
    <t>Динаміка  фактичних надходжень червень 2013 та 2014 років</t>
  </si>
  <si>
    <t>Виконано у червні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</si>
  <si>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(січень-квітень)</t>
    </r>
  </si>
  <si>
    <r>
      <t>Отримано середньострокових позик</t>
    </r>
    <r>
      <rPr>
        <sz val="14"/>
        <rFont val="Times New Roman"/>
        <family val="1"/>
      </rPr>
      <t xml:space="preserve"> (січень-травень)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</si>
  <si>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</si>
  <si>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27.06.14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</si>
  <si>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січень-липень</t>
  </si>
  <si>
    <t>Відхилення до плану на січень-липень</t>
  </si>
  <si>
    <t>% виконання до плану на січень-липень</t>
  </si>
  <si>
    <t>на липень  місяць</t>
  </si>
  <si>
    <t>Виконано у липні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</si>
  <si>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(січень-червень)</t>
    </r>
  </si>
  <si>
    <t>Динаміка  фактичних надходжень січень-липень 2013 та 2014 років</t>
  </si>
  <si>
    <t>Динаміка  фактичних надходжень липень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</si>
  <si>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</si>
  <si>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31.07.14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</si>
  <si>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січень-серпень</t>
  </si>
  <si>
    <t>Відхилення до плану на січень-серпень</t>
  </si>
  <si>
    <t>% виконання до плану на січень-серпень</t>
  </si>
  <si>
    <t>Виконано у серпні</t>
  </si>
  <si>
    <t>на серпень  місяць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</si>
  <si>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(січень-липень)</t>
    </r>
  </si>
  <si>
    <t>Динаміка  фактичних надходжень січень-серпень 2013 та 2014 років</t>
  </si>
  <si>
    <t>Динаміка  фактичних надходжень серпень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</si>
  <si>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</si>
  <si>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29.08.14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</si>
  <si>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січень-вересень</t>
  </si>
  <si>
    <t>Відхилення до плану на січень-вересень</t>
  </si>
  <si>
    <t>% виконання до плану на січень-вересень</t>
  </si>
  <si>
    <t>на вересень  місяць</t>
  </si>
  <si>
    <t>Виконано у вересні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</si>
  <si>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(січень-серпень)</t>
    </r>
  </si>
  <si>
    <t>Динаміка  фактичних надходжень січень-вересень 2013 та 2014 років</t>
  </si>
  <si>
    <t>Динаміка  фактичних надходжень вересень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</si>
  <si>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01.10.2014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</si>
  <si>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30.09.14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</si>
  <si>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січень-жовтень</t>
  </si>
  <si>
    <t>Відхилення до плану на січень-жовтень</t>
  </si>
  <si>
    <t>% виконання до плану на січень-жовтень</t>
  </si>
  <si>
    <t>на жовтень  місяць</t>
  </si>
  <si>
    <t>Виконано у жовтні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</si>
  <si>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(січень-вересень)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</si>
  <si>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03.10.2014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</si>
  <si>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02.10.14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</si>
</sst>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8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5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5" fontId="8" fillId="2" borderId="1" xfId="0" applyNumberFormat="1" applyFont="1" applyFill="1" applyBorder="1" applyAlignment="1" applyProtection="1">
      <alignment horizontal="right"/>
      <protection/>
    </xf>
    <xf numFmtId="175" fontId="8" fillId="2" borderId="1" xfId="0" applyNumberFormat="1" applyFont="1" applyFill="1" applyBorder="1" applyAlignment="1" applyProtection="1">
      <alignment horizontal="right"/>
      <protection locked="0"/>
    </xf>
    <xf numFmtId="175" fontId="13" fillId="2" borderId="1" xfId="0" applyNumberFormat="1" applyFont="1" applyFill="1" applyBorder="1" applyAlignment="1" applyProtection="1">
      <alignment horizontal="right" wrapText="1"/>
      <protection/>
    </xf>
    <xf numFmtId="175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5" fontId="8" fillId="0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175" fontId="19" fillId="0" borderId="1" xfId="0" applyNumberFormat="1" applyFont="1" applyFill="1" applyBorder="1" applyAlignment="1" applyProtection="1">
      <alignment horizontal="right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2" borderId="1" xfId="0" applyNumberFormat="1" applyFont="1" applyFill="1" applyBorder="1" applyAlignment="1" applyProtection="1">
      <alignment horizontal="right"/>
      <protection locked="0"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8" fillId="0" borderId="5" xfId="20" applyFont="1" applyBorder="1" applyAlignment="1" applyProtection="1">
      <alignment horizontal="center"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5" borderId="1" xfId="0" applyNumberFormat="1" applyFont="1" applyFill="1" applyBorder="1" applyAlignment="1" applyProtection="1">
      <alignment horizontal="right"/>
      <protection/>
    </xf>
    <xf numFmtId="174" fontId="7" fillId="5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2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83" fontId="22" fillId="0" borderId="1" xfId="0" applyNumberFormat="1" applyFont="1" applyFill="1" applyBorder="1" applyAlignment="1" applyProtection="1">
      <alignment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4" fillId="0" borderId="1" xfId="20" applyNumberFormat="1" applyFont="1" applyFill="1" applyBorder="1" applyAlignment="1" applyProtection="1">
      <alignment horizontal="center" vertical="center" wrapText="1"/>
      <protection/>
    </xf>
    <xf numFmtId="174" fontId="18" fillId="0" borderId="1" xfId="0" applyNumberFormat="1" applyFont="1" applyFill="1" applyBorder="1" applyAlignment="1" applyProtection="1">
      <alignment horizontal="right"/>
      <protection locked="0"/>
    </xf>
    <xf numFmtId="174" fontId="20" fillId="0" borderId="1" xfId="0" applyNumberFormat="1" applyFont="1" applyFill="1" applyBorder="1" applyAlignment="1" applyProtection="1">
      <alignment/>
      <protection/>
    </xf>
    <xf numFmtId="183" fontId="20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74" fontId="20" fillId="5" borderId="1" xfId="0" applyNumberFormat="1" applyFont="1" applyFill="1" applyBorder="1" applyAlignment="1" applyProtection="1">
      <alignment/>
      <protection/>
    </xf>
    <xf numFmtId="183" fontId="20" fillId="5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27" fillId="0" borderId="1" xfId="0" applyNumberFormat="1" applyFont="1" applyBorder="1" applyAlignment="1" applyProtection="1">
      <alignment/>
      <protection/>
    </xf>
    <xf numFmtId="183" fontId="27" fillId="0" borderId="1" xfId="0" applyNumberFormat="1" applyFont="1" applyBorder="1" applyAlignment="1" applyProtection="1">
      <alignment/>
      <protection/>
    </xf>
    <xf numFmtId="174" fontId="8" fillId="5" borderId="1" xfId="0" applyNumberFormat="1" applyFont="1" applyFill="1" applyBorder="1" applyAlignment="1" applyProtection="1">
      <alignment horizontal="right"/>
      <protection locked="0"/>
    </xf>
    <xf numFmtId="174" fontId="22" fillId="5" borderId="1" xfId="0" applyNumberFormat="1" applyFont="1" applyFill="1" applyBorder="1" applyAlignment="1" applyProtection="1">
      <alignment horizontal="right"/>
      <protection locked="0"/>
    </xf>
    <xf numFmtId="174" fontId="8" fillId="5" borderId="1" xfId="0" applyNumberFormat="1" applyFont="1" applyFill="1" applyBorder="1" applyAlignment="1" applyProtection="1">
      <alignment horizontal="right"/>
      <protection locked="0"/>
    </xf>
    <xf numFmtId="175" fontId="8" fillId="5" borderId="1" xfId="20" applyNumberFormat="1" applyFont="1" applyFill="1" applyBorder="1" applyProtection="1">
      <alignment/>
      <protection/>
    </xf>
    <xf numFmtId="174" fontId="7" fillId="5" borderId="1" xfId="20" applyNumberFormat="1" applyFont="1" applyFill="1" applyBorder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49" fontId="5" fillId="2" borderId="7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" xfId="20" applyNumberFormat="1" applyFont="1" applyFill="1" applyBorder="1" applyAlignment="1" applyProtection="1">
      <alignment horizontal="center" vertical="center" wrapText="1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3" fillId="0" borderId="8" xfId="0" applyFont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1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left" wrapText="1"/>
      <protection/>
    </xf>
    <xf numFmtId="0" fontId="10" fillId="0" borderId="1" xfId="20" applyFont="1" applyBorder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0" fontId="29" fillId="0" borderId="12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29" fillId="0" borderId="13" xfId="20" applyFont="1" applyFill="1" applyBorder="1" applyAlignment="1" applyProtection="1">
      <alignment horizontal="center" vertical="center" wrapText="1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4" fillId="0" borderId="13" xfId="20" applyFont="1" applyFill="1" applyBorder="1" applyAlignment="1" applyProtection="1">
      <alignment horizontal="center" vertical="center" wrapText="1"/>
      <protection/>
    </xf>
    <xf numFmtId="0" fontId="4" fillId="0" borderId="7" xfId="20" applyFont="1" applyFill="1" applyBorder="1" applyAlignment="1" applyProtection="1">
      <alignment horizontal="center" vertical="center" wrapText="1"/>
      <protection/>
    </xf>
    <xf numFmtId="174" fontId="4" fillId="0" borderId="13" xfId="20" applyNumberFormat="1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7" xfId="22" applyNumberFormat="1" applyFont="1" applyFill="1" applyBorder="1" applyAlignment="1" applyProtection="1">
      <alignment horizontal="center" wrapText="1"/>
      <protection/>
    </xf>
    <xf numFmtId="9" fontId="4" fillId="0" borderId="13" xfId="22" applyFont="1" applyFill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9" fontId="7" fillId="0" borderId="13" xfId="22" applyFont="1" applyFill="1" applyBorder="1" applyAlignment="1" applyProtection="1">
      <alignment horizontal="center" vertical="center" wrapText="1"/>
      <protection/>
    </xf>
    <xf numFmtId="9" fontId="7" fillId="0" borderId="7" xfId="22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7" xfId="0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7" xfId="22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7" xfId="20" applyFont="1" applyFill="1" applyBorder="1" applyAlignment="1" applyProtection="1">
      <alignment horizont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7" xfId="0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8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174" fontId="4" fillId="0" borderId="13" xfId="20" applyNumberFormat="1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-09"/>
      <sheetName val="депозит"/>
      <sheetName val="залишки  (2)"/>
      <sheetName val="надх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контр.показ. Мінф"/>
      <sheetName val="кредити"/>
      <sheetName val="повер ПДФО"/>
      <sheetName val="очік на кредит"/>
      <sheetName val="зал. на 01.01.2014"/>
      <sheetName val="зал. на 01.01.2013"/>
      <sheetName val="2111 з 2003р"/>
      <sheetName val="для федоренко"/>
      <sheetName val="найбільші платники"/>
      <sheetName val="5011-02"/>
      <sheetName val="5011"/>
      <sheetName val="2111"/>
      <sheetName val="2105"/>
      <sheetName val="листопад"/>
      <sheetName val="Лист1"/>
      <sheetName val="грудень"/>
      <sheetName val="жовтен"/>
    </sheetNames>
    <sheetDataSet>
      <sheetData sheetId="12">
        <row r="8">
          <cell r="G8">
            <v>0</v>
          </cell>
        </row>
        <row r="9">
          <cell r="G9">
            <v>9020596.530000001</v>
          </cell>
        </row>
      </sheetData>
      <sheetData sheetId="13">
        <row r="52">
          <cell r="B52">
            <v>17423205.409999996</v>
          </cell>
        </row>
      </sheetData>
      <sheetData sheetId="21">
        <row r="28">
          <cell r="C28">
            <v>4870376.3</v>
          </cell>
        </row>
      </sheetData>
      <sheetData sheetId="22">
        <row r="28">
          <cell r="C28">
            <v>3219411</v>
          </cell>
        </row>
      </sheetData>
      <sheetData sheetId="23">
        <row r="29">
          <cell r="C29">
            <v>1568431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148"/>
  <sheetViews>
    <sheetView tabSelected="1"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G150" sqref="G150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375" style="4" hidden="1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209" t="s">
        <v>284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126"/>
      <c r="R1" s="127"/>
    </row>
    <row r="2" spans="2:18" s="1" customFormat="1" ht="15.75" customHeight="1">
      <c r="B2" s="210"/>
      <c r="C2" s="210"/>
      <c r="D2" s="21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211"/>
      <c r="B3" s="176"/>
      <c r="C3" s="177" t="s">
        <v>0</v>
      </c>
      <c r="D3" s="178" t="s">
        <v>224</v>
      </c>
      <c r="E3" s="178"/>
      <c r="F3" s="179" t="s">
        <v>107</v>
      </c>
      <c r="G3" s="180"/>
      <c r="H3" s="180"/>
      <c r="I3" s="180"/>
      <c r="J3" s="180"/>
      <c r="K3" s="180"/>
      <c r="L3" s="212"/>
      <c r="M3" s="213" t="s">
        <v>225</v>
      </c>
      <c r="N3" s="215" t="s">
        <v>282</v>
      </c>
      <c r="O3" s="215"/>
      <c r="P3" s="215"/>
      <c r="Q3" s="215"/>
      <c r="R3" s="215"/>
    </row>
    <row r="4" spans="1:18" ht="22.5" customHeight="1">
      <c r="A4" s="211"/>
      <c r="B4" s="176"/>
      <c r="C4" s="177"/>
      <c r="D4" s="178"/>
      <c r="E4" s="178"/>
      <c r="F4" s="216" t="s">
        <v>116</v>
      </c>
      <c r="G4" s="203" t="s">
        <v>279</v>
      </c>
      <c r="H4" s="205" t="s">
        <v>280</v>
      </c>
      <c r="I4" s="201" t="s">
        <v>188</v>
      </c>
      <c r="J4" s="207" t="s">
        <v>189</v>
      </c>
      <c r="K4" s="194" t="s">
        <v>274</v>
      </c>
      <c r="L4" s="195"/>
      <c r="M4" s="214"/>
      <c r="N4" s="199" t="s">
        <v>285</v>
      </c>
      <c r="O4" s="201" t="s">
        <v>136</v>
      </c>
      <c r="P4" s="201" t="s">
        <v>135</v>
      </c>
      <c r="Q4" s="194" t="s">
        <v>275</v>
      </c>
      <c r="R4" s="195"/>
    </row>
    <row r="5" spans="1:18" ht="82.5" customHeight="1">
      <c r="A5" s="175"/>
      <c r="B5" s="176"/>
      <c r="C5" s="177"/>
      <c r="D5" s="150" t="s">
        <v>209</v>
      </c>
      <c r="E5" s="158" t="s">
        <v>278</v>
      </c>
      <c r="F5" s="217"/>
      <c r="G5" s="204"/>
      <c r="H5" s="206"/>
      <c r="I5" s="202"/>
      <c r="J5" s="208"/>
      <c r="K5" s="196"/>
      <c r="L5" s="197"/>
      <c r="M5" s="151" t="s">
        <v>281</v>
      </c>
      <c r="N5" s="200"/>
      <c r="O5" s="202"/>
      <c r="P5" s="202"/>
      <c r="Q5" s="196"/>
      <c r="R5" s="197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391003.6399999999</v>
      </c>
      <c r="F8" s="22">
        <f>F10+F19+F33+F56+F68+F30</f>
        <v>349363.25</v>
      </c>
      <c r="G8" s="22">
        <f aca="true" t="shared" si="0" ref="G8:G30">F8-E8</f>
        <v>-41640.3899999999</v>
      </c>
      <c r="H8" s="51">
        <f>F8/E8*100</f>
        <v>89.3503830296823</v>
      </c>
      <c r="I8" s="36">
        <f aca="true" t="shared" si="1" ref="I8:I17">F8-D8</f>
        <v>-139113.05</v>
      </c>
      <c r="J8" s="36">
        <f aca="true" t="shared" si="2" ref="J8:J14">F8/D8*100</f>
        <v>71.52102364024621</v>
      </c>
      <c r="K8" s="36">
        <f>F8-344287.2</f>
        <v>5076.049999999988</v>
      </c>
      <c r="L8" s="136">
        <f>F8/344287.2</f>
        <v>1.014743650068896</v>
      </c>
      <c r="M8" s="22">
        <f>M10+M19+M33+M56+M68+M30</f>
        <v>39644.799999999974</v>
      </c>
      <c r="N8" s="22">
        <f>N10+N19+N33+N56+N68+N30</f>
        <v>1073.2000000000035</v>
      </c>
      <c r="O8" s="36">
        <f aca="true" t="shared" si="3" ref="O8:O71">N8-M8</f>
        <v>-38571.59999999997</v>
      </c>
      <c r="P8" s="36">
        <f>F8/M8*100</f>
        <v>881.2334782871908</v>
      </c>
      <c r="Q8" s="36">
        <f>N8-37510.4</f>
        <v>-36437.2</v>
      </c>
      <c r="R8" s="134">
        <f>N8/37510.4</f>
        <v>0.028610731957004015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283513.68</v>
      </c>
      <c r="G9" s="22">
        <f t="shared" si="0"/>
        <v>283513.68</v>
      </c>
      <c r="H9" s="20"/>
      <c r="I9" s="56">
        <f t="shared" si="1"/>
        <v>-103499.52000000002</v>
      </c>
      <c r="J9" s="56">
        <f t="shared" si="2"/>
        <v>73.25685015394824</v>
      </c>
      <c r="K9" s="56"/>
      <c r="L9" s="135"/>
      <c r="M9" s="20">
        <f>M10+M17</f>
        <v>32246.599999999977</v>
      </c>
      <c r="N9" s="20">
        <f>N10+N17</f>
        <v>900</v>
      </c>
      <c r="O9" s="36">
        <f t="shared" si="3"/>
        <v>-31346.599999999977</v>
      </c>
      <c r="P9" s="56">
        <f>F9/M9*100</f>
        <v>879.2048774134333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319706.1</v>
      </c>
      <c r="F10" s="169">
        <v>283513.68</v>
      </c>
      <c r="G10" s="49">
        <f t="shared" si="0"/>
        <v>-36192.419999999984</v>
      </c>
      <c r="H10" s="40">
        <f aca="true" t="shared" si="4" ref="H10:H17">F10/E10*100</f>
        <v>88.67947155215369</v>
      </c>
      <c r="I10" s="56">
        <f t="shared" si="1"/>
        <v>-103499.52000000002</v>
      </c>
      <c r="J10" s="56">
        <f t="shared" si="2"/>
        <v>73.25685015394824</v>
      </c>
      <c r="K10" s="141">
        <f>F10-272674.4</f>
        <v>10839.27999999997</v>
      </c>
      <c r="L10" s="142">
        <f>F10/272674.4</f>
        <v>1.0397517332026769</v>
      </c>
      <c r="M10" s="40">
        <f>E10-вересень!E10</f>
        <v>32246.599999999977</v>
      </c>
      <c r="N10" s="40">
        <f>F10-вересень!F10</f>
        <v>900</v>
      </c>
      <c r="O10" s="53">
        <f t="shared" si="3"/>
        <v>-31346.599999999977</v>
      </c>
      <c r="P10" s="56">
        <f aca="true" t="shared" si="5" ref="P10:P17">N10/M10*100</f>
        <v>2.7909919185278467</v>
      </c>
      <c r="Q10" s="141">
        <f>N10-29967.1</f>
        <v>-29067.1</v>
      </c>
      <c r="R10" s="142">
        <f>N10/29967.1</f>
        <v>0.030032936119944873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E11-вересень!E11</f>
        <v>0</v>
      </c>
      <c r="N11" s="40">
        <f>F11-вересень!F11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E12-вересень!E12</f>
        <v>0</v>
      </c>
      <c r="N12" s="40">
        <f>F12-вересень!F12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E13-вересень!E13</f>
        <v>0</v>
      </c>
      <c r="N13" s="40">
        <f>F13-вересень!F13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E14-вересень!E14</f>
        <v>0</v>
      </c>
      <c r="N14" s="40">
        <f>F14-вересень!F14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E15-вересень!E15</f>
        <v>0</v>
      </c>
      <c r="N15" s="40">
        <f>F15-вересень!F15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E16-вересень!E16</f>
        <v>0</v>
      </c>
      <c r="N16" s="40">
        <f>F16-вересень!F16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E17-вересень!E17</f>
        <v>0</v>
      </c>
      <c r="N17" s="40">
        <f>F17-вересень!F17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E18-вересень!E18</f>
        <v>0</v>
      </c>
      <c r="N18" s="40">
        <f>F18-вересень!F18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1067.6</v>
      </c>
      <c r="F19" s="169">
        <v>-393.47</v>
      </c>
      <c r="G19" s="49">
        <f t="shared" si="0"/>
        <v>-1461.07</v>
      </c>
      <c r="H19" s="40">
        <f aca="true" t="shared" si="6" ref="H19:H29">F19/E19*100</f>
        <v>-36.8555638816036</v>
      </c>
      <c r="I19" s="56">
        <f aca="true" t="shared" si="7" ref="I19:I29">F19-D19</f>
        <v>-1393.47</v>
      </c>
      <c r="J19" s="56">
        <f aca="true" t="shared" si="8" ref="J19:J29">F19/D19*100</f>
        <v>-39.347</v>
      </c>
      <c r="K19" s="167">
        <f>F19-6479.1</f>
        <v>-6872.570000000001</v>
      </c>
      <c r="L19" s="168">
        <f>F19/6479.1</f>
        <v>-0.060729113611458385</v>
      </c>
      <c r="M19" s="40">
        <f>E19-вересень!E19</f>
        <v>11</v>
      </c>
      <c r="N19" s="40">
        <f>F19-вересень!F19</f>
        <v>11</v>
      </c>
      <c r="O19" s="53">
        <f t="shared" si="3"/>
        <v>0</v>
      </c>
      <c r="P19" s="56">
        <f aca="true" t="shared" si="9" ref="P19:P29">N19/M19*100</f>
        <v>100</v>
      </c>
      <c r="Q19" s="56">
        <f>N19-362</f>
        <v>-351</v>
      </c>
      <c r="R19" s="135">
        <f>N19/362</f>
        <v>0.03038674033149171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169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E20-вересень!E20</f>
        <v>0</v>
      </c>
      <c r="N20" s="40">
        <f>F20-вересень!F20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169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E21-вересень!E21</f>
        <v>0</v>
      </c>
      <c r="N21" s="40">
        <f>F21-вересень!F21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169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E22-вересень!E22</f>
        <v>0</v>
      </c>
      <c r="N22" s="40">
        <f>F22-вересень!F22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169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E23-вересень!E23</f>
        <v>0</v>
      </c>
      <c r="N23" s="40">
        <f>F23-вересень!F23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169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E24-вересень!E24</f>
        <v>0</v>
      </c>
      <c r="N24" s="40">
        <f>F24-вересень!F24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169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E25-вересень!E25</f>
        <v>0</v>
      </c>
      <c r="N25" s="40">
        <f>F25-вересень!F25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169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E26-вересень!E26</f>
        <v>0</v>
      </c>
      <c r="N26" s="40">
        <f>F26-вересень!F26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169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E27-вересень!E27</f>
        <v>0</v>
      </c>
      <c r="N27" s="40">
        <f>F27-вересень!F27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169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E28-вересень!E28</f>
        <v>0</v>
      </c>
      <c r="N28" s="40">
        <f>F28-вересень!F28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807.6</v>
      </c>
      <c r="F29" s="170">
        <v>106.61</v>
      </c>
      <c r="G29" s="49">
        <f t="shared" si="0"/>
        <v>-700.99</v>
      </c>
      <c r="H29" s="40">
        <f t="shared" si="6"/>
        <v>13.20084200099059</v>
      </c>
      <c r="I29" s="56">
        <f t="shared" si="7"/>
        <v>-823.39</v>
      </c>
      <c r="J29" s="56">
        <f t="shared" si="8"/>
        <v>11.463440860215053</v>
      </c>
      <c r="K29" s="148">
        <f>F29-2860</f>
        <v>-2753.39</v>
      </c>
      <c r="L29" s="149">
        <f>F29/2860</f>
        <v>0.03727622377622378</v>
      </c>
      <c r="M29" s="40">
        <f>E29-вересень!E29</f>
        <v>11</v>
      </c>
      <c r="N29" s="40">
        <f>F29-вересень!F29</f>
        <v>11</v>
      </c>
      <c r="O29" s="148">
        <f t="shared" si="3"/>
        <v>0</v>
      </c>
      <c r="P29" s="145">
        <f t="shared" si="9"/>
        <v>100</v>
      </c>
      <c r="Q29" s="148">
        <f>N29-361.95</f>
        <v>-350.95</v>
      </c>
      <c r="R29" s="149">
        <f>N29/361.95</f>
        <v>0.030390937974858406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27.5</v>
      </c>
      <c r="F30" s="169">
        <v>3.31</v>
      </c>
      <c r="G30" s="49">
        <f t="shared" si="0"/>
        <v>-24.19</v>
      </c>
      <c r="H30" s="40"/>
      <c r="I30" s="56"/>
      <c r="J30" s="56"/>
      <c r="K30" s="56">
        <f>F30-25.1</f>
        <v>-21.790000000000003</v>
      </c>
      <c r="L30" s="149">
        <f>F30/25.1</f>
        <v>0.13187250996015937</v>
      </c>
      <c r="M30" s="40">
        <f>E30-вересень!E30</f>
        <v>0.5</v>
      </c>
      <c r="N30" s="40">
        <f>F30-вересень!F30</f>
        <v>0</v>
      </c>
      <c r="O30" s="53">
        <f t="shared" si="3"/>
        <v>-0.5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E31-вересень!E31</f>
        <v>0</v>
      </c>
      <c r="N31" s="40">
        <f>F31-вересень!F31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E32-вересень!E32</f>
        <v>0</v>
      </c>
      <c r="N32" s="40">
        <f>F32-вересень!F32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64535.84</v>
      </c>
      <c r="F33" s="169">
        <v>61366.3</v>
      </c>
      <c r="G33" s="49">
        <f aca="true" t="shared" si="14" ref="G33:G72">F33-E33</f>
        <v>-3169.5399999999936</v>
      </c>
      <c r="H33" s="40">
        <f aca="true" t="shared" si="15" ref="H33:H67">F33/E33*100</f>
        <v>95.08871349625264</v>
      </c>
      <c r="I33" s="56">
        <f>F33-D33</f>
        <v>-32199.699999999997</v>
      </c>
      <c r="J33" s="56">
        <f aca="true" t="shared" si="16" ref="J33:J72">F33/D33*100</f>
        <v>65.58611033922578</v>
      </c>
      <c r="K33" s="141">
        <f>F33-60413.2</f>
        <v>953.1000000000058</v>
      </c>
      <c r="L33" s="142">
        <f>F33/60413.2</f>
        <v>1.0157763535121465</v>
      </c>
      <c r="M33" s="40">
        <f>E33-вересень!E33</f>
        <v>6833.699999999997</v>
      </c>
      <c r="N33" s="40">
        <f>F33-вересень!F33</f>
        <v>133.84000000000378</v>
      </c>
      <c r="O33" s="53">
        <f t="shared" si="3"/>
        <v>-6699.859999999993</v>
      </c>
      <c r="P33" s="56">
        <f aca="true" t="shared" si="17" ref="P33:P67">N33/M33*100</f>
        <v>1.9585290545385932</v>
      </c>
      <c r="Q33" s="141">
        <f>N33-6624.9</f>
        <v>-6491.059999999996</v>
      </c>
      <c r="R33" s="142">
        <f>N33/6624.9</f>
        <v>0.020202569095383142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169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E34-вересень!E34</f>
        <v>0</v>
      </c>
      <c r="N34" s="40">
        <f>F34-вересень!F34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169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E35-вересень!E35</f>
        <v>0</v>
      </c>
      <c r="N35" s="40">
        <f>F35-вересень!F35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169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E36-вересень!E36</f>
        <v>0</v>
      </c>
      <c r="N36" s="40">
        <f>F36-вересень!F36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169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E37-вересень!E37</f>
        <v>0</v>
      </c>
      <c r="N37" s="40">
        <f>F37-вересень!F37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169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E38-вересень!E38</f>
        <v>0</v>
      </c>
      <c r="N38" s="40">
        <f>F38-вересень!F38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169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E39-вересень!E39</f>
        <v>0</v>
      </c>
      <c r="N39" s="40">
        <f>F39-вересень!F39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169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E40-вересень!E40</f>
        <v>0</v>
      </c>
      <c r="N40" s="40">
        <f>F40-вересень!F40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169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E41-вересень!E41</f>
        <v>0</v>
      </c>
      <c r="N41" s="40">
        <f>F41-вересень!F41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169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E42-вересень!E42</f>
        <v>0</v>
      </c>
      <c r="N42" s="40">
        <f>F42-вересень!F42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169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E43-вересень!E43</f>
        <v>0</v>
      </c>
      <c r="N43" s="40">
        <f>F43-вересень!F43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169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E44-вересень!E44</f>
        <v>0</v>
      </c>
      <c r="N44" s="40">
        <f>F44-вересень!F44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169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E45-вересень!E45</f>
        <v>0</v>
      </c>
      <c r="N45" s="40">
        <f>F45-вересень!F45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169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E46-вересень!E46</f>
        <v>0</v>
      </c>
      <c r="N46" s="40">
        <f>F46-вересень!F46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169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E47-вересень!E47</f>
        <v>0</v>
      </c>
      <c r="N47" s="40">
        <f>F47-вересень!F47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169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E48-вересень!E48</f>
        <v>0</v>
      </c>
      <c r="N48" s="40">
        <f>F48-вересень!F48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169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E49-вересень!E49</f>
        <v>0</v>
      </c>
      <c r="N49" s="40">
        <f>F49-вересень!F49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169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E50-вересень!E50</f>
        <v>0</v>
      </c>
      <c r="N50" s="40">
        <f>F50-вересень!F50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169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E51-вересень!E51</f>
        <v>0</v>
      </c>
      <c r="N51" s="40">
        <f>F51-вересень!F51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169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E52-вересень!E52</f>
        <v>0</v>
      </c>
      <c r="N52" s="40">
        <f>F52-вересень!F52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169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E53-вересень!E53</f>
        <v>0</v>
      </c>
      <c r="N53" s="40">
        <f>F53-вересень!F53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169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E54-вересень!E54</f>
        <v>0</v>
      </c>
      <c r="N54" s="40">
        <f>F54-вересень!F54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47405.54</v>
      </c>
      <c r="F55" s="170">
        <v>45536.01</v>
      </c>
      <c r="G55" s="144">
        <f t="shared" si="14"/>
        <v>-1869.5299999999988</v>
      </c>
      <c r="H55" s="146">
        <f t="shared" si="15"/>
        <v>96.05630481163172</v>
      </c>
      <c r="I55" s="145">
        <f t="shared" si="18"/>
        <v>-24729.989999999998</v>
      </c>
      <c r="J55" s="145">
        <f t="shared" si="16"/>
        <v>64.80518316113056</v>
      </c>
      <c r="K55" s="148">
        <f>F55-43813.51</f>
        <v>1722.5</v>
      </c>
      <c r="L55" s="149">
        <f>F55/43813.51</f>
        <v>1.0393143576033967</v>
      </c>
      <c r="M55" s="40">
        <f>E55-вересень!E55</f>
        <v>4933.700000000004</v>
      </c>
      <c r="N55" s="40">
        <f>F55-вересень!F55</f>
        <v>114.61000000000058</v>
      </c>
      <c r="O55" s="148">
        <f t="shared" si="3"/>
        <v>-4819.090000000004</v>
      </c>
      <c r="P55" s="148">
        <f t="shared" si="17"/>
        <v>2.3230030200458174</v>
      </c>
      <c r="Q55" s="160">
        <f>N55-4961.43</f>
        <v>-4846.82</v>
      </c>
      <c r="R55" s="161">
        <f>N55/7961.43</f>
        <v>0.014395655051919138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5666.5</v>
      </c>
      <c r="F56" s="169">
        <f>1.51+4870.38</f>
        <v>4871.89</v>
      </c>
      <c r="G56" s="49">
        <f t="shared" si="14"/>
        <v>-794.6099999999997</v>
      </c>
      <c r="H56" s="40">
        <f t="shared" si="15"/>
        <v>85.97705814876909</v>
      </c>
      <c r="I56" s="56">
        <f t="shared" si="18"/>
        <v>-1988.1099999999997</v>
      </c>
      <c r="J56" s="56">
        <f t="shared" si="16"/>
        <v>71.01880466472304</v>
      </c>
      <c r="K56" s="56">
        <f>F56-4694.5</f>
        <v>177.39000000000033</v>
      </c>
      <c r="L56" s="135">
        <f>F56/4694.5</f>
        <v>1.0377867717541804</v>
      </c>
      <c r="M56" s="40">
        <f>E56-вересень!E56</f>
        <v>553</v>
      </c>
      <c r="N56" s="40">
        <f>F56-вересень!F56</f>
        <v>28.359999999999673</v>
      </c>
      <c r="O56" s="53">
        <f t="shared" si="3"/>
        <v>-524.6400000000003</v>
      </c>
      <c r="P56" s="56">
        <f t="shared" si="17"/>
        <v>5.128390596744968</v>
      </c>
      <c r="Q56" s="56">
        <f>N56-556.2</f>
        <v>-527.8400000000004</v>
      </c>
      <c r="R56" s="135">
        <f>N56/556.2</f>
        <v>0.05098885293059991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169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E57-вересень!E57</f>
        <v>0</v>
      </c>
      <c r="N57" s="40">
        <f>F57-вересень!F57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169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E58-вересень!E58</f>
        <v>0</v>
      </c>
      <c r="N58" s="40">
        <f>F58-вересень!F58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169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E59-вересень!E59</f>
        <v>0</v>
      </c>
      <c r="N59" s="40">
        <f>F59-вересень!F59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169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E60-вересень!E60</f>
        <v>0</v>
      </c>
      <c r="N60" s="40">
        <f>F60-вересень!F60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169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E61-вересень!E61</f>
        <v>0</v>
      </c>
      <c r="N61" s="40">
        <f>F61-вересень!F61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169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E62-вересень!E62</f>
        <v>0</v>
      </c>
      <c r="N62" s="40">
        <f>F62-вересень!F62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169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E63-вересень!E63</f>
        <v>0</v>
      </c>
      <c r="N63" s="40">
        <f>F63-вересень!F63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169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E64-вересень!E64</f>
        <v>0</v>
      </c>
      <c r="N64" s="40">
        <f>F64-вересень!F64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169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E65-вересень!E65</f>
        <v>0</v>
      </c>
      <c r="N65" s="40">
        <f>F65-вересень!F65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169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E66-вересень!E66</f>
        <v>0</v>
      </c>
      <c r="N66" s="40">
        <f>F66-вересень!F66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169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E67-вересень!E67</f>
        <v>0</v>
      </c>
      <c r="N67" s="40">
        <f>F67-вересень!F67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169">
        <v>1.54</v>
      </c>
      <c r="G68" s="49">
        <f t="shared" si="14"/>
        <v>1.44</v>
      </c>
      <c r="H68" s="40"/>
      <c r="I68" s="56">
        <f t="shared" si="18"/>
        <v>1.44</v>
      </c>
      <c r="J68" s="56">
        <f t="shared" si="16"/>
        <v>1540</v>
      </c>
      <c r="K68" s="56">
        <f>F68-1</f>
        <v>0.54</v>
      </c>
      <c r="L68" s="135"/>
      <c r="M68" s="40">
        <f>E68-вересень!E68</f>
        <v>0</v>
      </c>
      <c r="N68" s="40">
        <f>F68-вересень!F68</f>
        <v>0</v>
      </c>
      <c r="O68" s="53">
        <f t="shared" si="3"/>
        <v>0</v>
      </c>
      <c r="P68" s="56"/>
      <c r="Q68" s="56">
        <f>N68-0.3</f>
        <v>-0.3</v>
      </c>
      <c r="R68" s="135">
        <f>N68/0.3</f>
        <v>0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13696.5</v>
      </c>
      <c r="F74" s="22">
        <f>F77+F86+F88+F89+F94+F95+F96+F97+F99+F104+F87+F103</f>
        <v>9776.41</v>
      </c>
      <c r="G74" s="50">
        <f aca="true" t="shared" si="24" ref="G74:G92">F74-E74</f>
        <v>-3920.09</v>
      </c>
      <c r="H74" s="51">
        <f aca="true" t="shared" si="25" ref="H74:H87">F74/E74*100</f>
        <v>71.37889241777097</v>
      </c>
      <c r="I74" s="36">
        <f aca="true" t="shared" si="26" ref="I74:I92">F74-D74</f>
        <v>-8581.89</v>
      </c>
      <c r="J74" s="36">
        <f aca="true" t="shared" si="27" ref="J74:J92">F74/D74*100</f>
        <v>53.253351345168134</v>
      </c>
      <c r="K74" s="36">
        <f>F74-14585.4</f>
        <v>-4808.99</v>
      </c>
      <c r="L74" s="136">
        <f>F74/14585.4</f>
        <v>0.6702874106983696</v>
      </c>
      <c r="M74" s="22">
        <f>M77+M86+M88+M89+M94+M95+M96+M97+M99+M87+M104</f>
        <v>1516.5</v>
      </c>
      <c r="N74" s="22">
        <f>N77+N86+N88+N89+N94+N95+N96+N97+N99+N32+N104+N87+N103</f>
        <v>16.976999999999947</v>
      </c>
      <c r="O74" s="55">
        <f aca="true" t="shared" si="28" ref="O74:O92">N74-M74</f>
        <v>-1499.5230000000001</v>
      </c>
      <c r="P74" s="36">
        <f>N74/M74*100</f>
        <v>1.119485657764586</v>
      </c>
      <c r="Q74" s="36">
        <f>N74-1622.9</f>
        <v>-1605.9230000000002</v>
      </c>
      <c r="R74" s="136">
        <f>N74/1622.9</f>
        <v>0.010460903321215076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110</v>
      </c>
      <c r="F77" s="169">
        <v>123.45</v>
      </c>
      <c r="G77" s="49">
        <f t="shared" si="24"/>
        <v>13.450000000000003</v>
      </c>
      <c r="H77" s="40">
        <f t="shared" si="25"/>
        <v>112.22727272727273</v>
      </c>
      <c r="I77" s="56">
        <f t="shared" si="26"/>
        <v>-376.55</v>
      </c>
      <c r="J77" s="56">
        <f t="shared" si="27"/>
        <v>24.69</v>
      </c>
      <c r="K77" s="167">
        <f>F77-1694.5</f>
        <v>-1571.05</v>
      </c>
      <c r="L77" s="168">
        <f>F77/1694.5</f>
        <v>0.07285334907052228</v>
      </c>
      <c r="M77" s="40">
        <f>E77-вересень!E77</f>
        <v>0</v>
      </c>
      <c r="N77" s="40">
        <f>F77-вересень!F77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N77-0</f>
        <v>0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169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E78-вересень!E78</f>
        <v>0</v>
      </c>
      <c r="N78" s="40">
        <f>F78-вересень!F78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169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E79-вересень!E79</f>
        <v>0</v>
      </c>
      <c r="N79" s="40">
        <f>F79-вересень!F79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169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E80-вересень!E80</f>
        <v>0</v>
      </c>
      <c r="N80" s="40">
        <f>F80-вересень!F80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169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E81-вересень!E81</f>
        <v>0</v>
      </c>
      <c r="N81" s="40">
        <f>F81-вересень!F81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169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E82-вересень!E82</f>
        <v>0</v>
      </c>
      <c r="N82" s="40">
        <f>F82-вересень!F82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169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E83-вересень!E83</f>
        <v>0</v>
      </c>
      <c r="N83" s="40">
        <f>F83-вересень!F83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169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E84-вересень!E84</f>
        <v>0</v>
      </c>
      <c r="N84" s="40">
        <f>F84-вересень!F84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169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E85-вересень!E85</f>
        <v>0</v>
      </c>
      <c r="N85" s="40">
        <f>F85-вересень!F85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3080</v>
      </c>
      <c r="F86" s="169">
        <v>0</v>
      </c>
      <c r="G86" s="49">
        <f t="shared" si="24"/>
        <v>-3080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7">
        <f>F86-2641.6</f>
        <v>-2641.6</v>
      </c>
      <c r="L86" s="168">
        <f>F86/2641.6</f>
        <v>0</v>
      </c>
      <c r="M86" s="40">
        <f>E86-вересень!E86</f>
        <v>480</v>
      </c>
      <c r="N86" s="40">
        <f>F86-вересень!F86</f>
        <v>0</v>
      </c>
      <c r="O86" s="53">
        <f t="shared" si="28"/>
        <v>-480</v>
      </c>
      <c r="P86" s="56">
        <f t="shared" si="29"/>
        <v>0</v>
      </c>
      <c r="Q86" s="56">
        <f>N86-489.7</f>
        <v>-489.7</v>
      </c>
      <c r="R86" s="135">
        <f>N86/489.7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169">
        <v>272.25</v>
      </c>
      <c r="G87" s="49">
        <f t="shared" si="24"/>
        <v>52.25</v>
      </c>
      <c r="H87" s="40">
        <f t="shared" si="25"/>
        <v>123.75</v>
      </c>
      <c r="I87" s="56">
        <f t="shared" si="26"/>
        <v>-227.75</v>
      </c>
      <c r="J87" s="56">
        <f t="shared" si="27"/>
        <v>54.449999999999996</v>
      </c>
      <c r="K87" s="56">
        <f>F87-210.3</f>
        <v>61.94999999999999</v>
      </c>
      <c r="L87" s="135">
        <f>F87/210.3</f>
        <v>1.2945791726105562</v>
      </c>
      <c r="M87" s="40">
        <f>E87-вересень!E87</f>
        <v>0</v>
      </c>
      <c r="N87" s="40">
        <f>F87-вересень!F87</f>
        <v>0</v>
      </c>
      <c r="O87" s="53">
        <f t="shared" si="28"/>
        <v>0</v>
      </c>
      <c r="P87" s="56" t="e">
        <f t="shared" si="29"/>
        <v>#DIV/0!</v>
      </c>
      <c r="Q87" s="56">
        <f>N87-12.4</f>
        <v>-12.4</v>
      </c>
      <c r="R87" s="135">
        <f>N87/12.4</f>
        <v>0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4</v>
      </c>
      <c r="F88" s="169">
        <v>5.6</v>
      </c>
      <c r="G88" s="49">
        <f t="shared" si="24"/>
        <v>1.5999999999999996</v>
      </c>
      <c r="H88" s="40">
        <f>F88/E88*100</f>
        <v>140</v>
      </c>
      <c r="I88" s="56">
        <f t="shared" si="26"/>
        <v>0.5</v>
      </c>
      <c r="J88" s="56">
        <f t="shared" si="27"/>
        <v>109.80392156862746</v>
      </c>
      <c r="K88" s="56">
        <f>F88-3</f>
        <v>2.5999999999999996</v>
      </c>
      <c r="L88" s="135"/>
      <c r="M88" s="40">
        <f>E88-вересень!E88</f>
        <v>0.5</v>
      </c>
      <c r="N88" s="40">
        <f>F88-вересень!F88</f>
        <v>0</v>
      </c>
      <c r="O88" s="53">
        <f t="shared" si="28"/>
        <v>-0.5</v>
      </c>
      <c r="P88" s="56">
        <f>N88/M88*100</f>
        <v>0</v>
      </c>
      <c r="Q88" s="56">
        <f>N88-2.5</f>
        <v>-2.5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144</v>
      </c>
      <c r="F89" s="169">
        <v>98.8</v>
      </c>
      <c r="G89" s="49">
        <f t="shared" si="24"/>
        <v>-45.2</v>
      </c>
      <c r="H89" s="40">
        <f>F89/E89*100</f>
        <v>68.61111111111111</v>
      </c>
      <c r="I89" s="56">
        <f t="shared" si="26"/>
        <v>-76.2</v>
      </c>
      <c r="J89" s="56">
        <f t="shared" si="27"/>
        <v>56.45714285714285</v>
      </c>
      <c r="K89" s="56">
        <f>F89-123.2</f>
        <v>-24.400000000000006</v>
      </c>
      <c r="L89" s="135">
        <f>F89/123.2</f>
        <v>0.8019480519480519</v>
      </c>
      <c r="M89" s="40">
        <f>E89-вересень!E89</f>
        <v>15</v>
      </c>
      <c r="N89" s="40">
        <f>F89-вересень!F89</f>
        <v>0.8499999999999943</v>
      </c>
      <c r="O89" s="53">
        <f t="shared" si="28"/>
        <v>-14.150000000000006</v>
      </c>
      <c r="P89" s="56">
        <f>N89/M89*100</f>
        <v>5.666666666666629</v>
      </c>
      <c r="Q89" s="56">
        <f>N89-14.8</f>
        <v>-13.950000000000006</v>
      </c>
      <c r="R89" s="135">
        <f>N89/14.8</f>
        <v>0.05743243243243205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169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E90-вересень!E90</f>
        <v>0</v>
      </c>
      <c r="N90" s="40">
        <f>F90-вересень!F90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169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E91-вересень!E91</f>
        <v>0</v>
      </c>
      <c r="N91" s="40">
        <f>F91-вересень!F91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169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E92-вересень!E92</f>
        <v>0</v>
      </c>
      <c r="N92" s="40">
        <f>F92-вересень!F92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E93-вересень!E93</f>
        <v>0</v>
      </c>
      <c r="N93" s="40">
        <f>F93-вересень!F93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169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E94-вересень!E94</f>
        <v>0</v>
      </c>
      <c r="N94" s="40">
        <f>F94-вересень!F94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5831.5</v>
      </c>
      <c r="F95" s="169">
        <v>5365.42</v>
      </c>
      <c r="G95" s="49">
        <f t="shared" si="31"/>
        <v>-466.0799999999999</v>
      </c>
      <c r="H95" s="40">
        <f>F95/E95*100</f>
        <v>92.00754522850039</v>
      </c>
      <c r="I95" s="56">
        <f t="shared" si="32"/>
        <v>-1634.58</v>
      </c>
      <c r="J95" s="56">
        <f>F95/D95*100</f>
        <v>76.64885714285714</v>
      </c>
      <c r="K95" s="56">
        <f>F95-5517.5</f>
        <v>-152.07999999999993</v>
      </c>
      <c r="L95" s="135">
        <f>F95/5517.5</f>
        <v>0.9724367920253738</v>
      </c>
      <c r="M95" s="40">
        <f>E95-вересень!E95</f>
        <v>575</v>
      </c>
      <c r="N95" s="40">
        <f>F95-вересень!F95</f>
        <v>0</v>
      </c>
      <c r="O95" s="53">
        <f t="shared" si="33"/>
        <v>-575</v>
      </c>
      <c r="P95" s="56">
        <f>N95/M95*100</f>
        <v>0</v>
      </c>
      <c r="Q95" s="56">
        <f>N95-569.2</f>
        <v>-569.2</v>
      </c>
      <c r="R95" s="135">
        <f>N95/569.2</f>
        <v>0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904.5</v>
      </c>
      <c r="F96" s="169">
        <v>787.34</v>
      </c>
      <c r="G96" s="49">
        <f t="shared" si="31"/>
        <v>-117.15999999999997</v>
      </c>
      <c r="H96" s="40">
        <f>F96/E96*100</f>
        <v>87.04698728579326</v>
      </c>
      <c r="I96" s="56">
        <f t="shared" si="32"/>
        <v>-412.65999999999997</v>
      </c>
      <c r="J96" s="56">
        <f>F96/D96*100</f>
        <v>65.61166666666666</v>
      </c>
      <c r="K96" s="56">
        <f>F96-795.5</f>
        <v>-8.159999999999968</v>
      </c>
      <c r="L96" s="135">
        <f>F96/795.5</f>
        <v>0.9897423004399749</v>
      </c>
      <c r="M96" s="40">
        <f>E96-вересень!E96</f>
        <v>110</v>
      </c>
      <c r="N96" s="40">
        <f>F96-вересень!F96</f>
        <v>4.960000000000036</v>
      </c>
      <c r="O96" s="53">
        <f t="shared" si="33"/>
        <v>-105.03999999999996</v>
      </c>
      <c r="P96" s="56">
        <f>N96/M96*100</f>
        <v>4.509090909090943</v>
      </c>
      <c r="Q96" s="56">
        <f>N96-102.1</f>
        <v>-97.13999999999996</v>
      </c>
      <c r="R96" s="135">
        <f>N96/102.1</f>
        <v>0.048579823702253055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169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E97-вересень!E97</f>
        <v>0</v>
      </c>
      <c r="N97" s="40">
        <f>F97-вересень!F97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169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E98-вересень!E98</f>
        <v>0</v>
      </c>
      <c r="N98" s="40">
        <f>F98-вересень!F98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3337</v>
      </c>
      <c r="F99" s="169">
        <v>3105</v>
      </c>
      <c r="G99" s="49">
        <f t="shared" si="31"/>
        <v>-232</v>
      </c>
      <c r="H99" s="40">
        <f>F99/E99*100</f>
        <v>93.04764758765359</v>
      </c>
      <c r="I99" s="56">
        <f t="shared" si="32"/>
        <v>-1467.6999999999998</v>
      </c>
      <c r="J99" s="56">
        <f>F99/D99*100</f>
        <v>67.9029894810506</v>
      </c>
      <c r="K99" s="56">
        <f>F99-3411.3</f>
        <v>-306.3000000000002</v>
      </c>
      <c r="L99" s="135">
        <f>F99/3411.3</f>
        <v>0.910210183800897</v>
      </c>
      <c r="M99" s="40">
        <f>E99-вересень!E99</f>
        <v>330</v>
      </c>
      <c r="N99" s="40">
        <f>F99-вересень!F99</f>
        <v>11.166999999999916</v>
      </c>
      <c r="O99" s="53">
        <f t="shared" si="33"/>
        <v>-318.8330000000001</v>
      </c>
      <c r="P99" s="56">
        <f>N99/M99*100</f>
        <v>3.3839393939393685</v>
      </c>
      <c r="Q99" s="56">
        <f>N99-432.2</f>
        <v>-421.0330000000001</v>
      </c>
      <c r="R99" s="135">
        <f>N99/432.2</f>
        <v>0.025837575196668017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169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E100-вересень!E100</f>
        <v>0</v>
      </c>
      <c r="N100" s="40">
        <f>F100-вересень!F100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169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E101-вересень!E101</f>
        <v>0</v>
      </c>
      <c r="N101" s="40">
        <f>F101-вересень!F101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70">
        <v>761.4</v>
      </c>
      <c r="G102" s="144"/>
      <c r="H102" s="146"/>
      <c r="I102" s="145"/>
      <c r="J102" s="145"/>
      <c r="K102" s="148">
        <f>F102-545.2</f>
        <v>216.19999999999993</v>
      </c>
      <c r="L102" s="149">
        <f>F102/545.2</f>
        <v>1.3965517241379308</v>
      </c>
      <c r="M102" s="40">
        <f>E102-вересень!E102</f>
        <v>0</v>
      </c>
      <c r="N102" s="40">
        <f>F102-вересень!F102</f>
        <v>4.199999999999932</v>
      </c>
      <c r="O102" s="53"/>
      <c r="P102" s="60"/>
      <c r="Q102" s="60">
        <f>N102-124.1</f>
        <v>-119.90000000000006</v>
      </c>
      <c r="R102" s="138">
        <f>N102/124.1</f>
        <v>0.03384367445608326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71">
        <v>4.74</v>
      </c>
      <c r="G103" s="144"/>
      <c r="H103" s="146"/>
      <c r="I103" s="145"/>
      <c r="J103" s="145"/>
      <c r="K103" s="148"/>
      <c r="L103" s="149"/>
      <c r="M103" s="40">
        <f>E103-вересень!E103</f>
        <v>0</v>
      </c>
      <c r="N103" s="40">
        <f>F103-вересень!F103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65.5</v>
      </c>
      <c r="F104" s="169">
        <v>13.28</v>
      </c>
      <c r="G104" s="49">
        <f>F104-E104</f>
        <v>-52.22</v>
      </c>
      <c r="H104" s="40">
        <f>F104/E104*100</f>
        <v>20.27480916030534</v>
      </c>
      <c r="I104" s="56">
        <f aca="true" t="shared" si="34" ref="I104:I111">F104-D104</f>
        <v>-52.22</v>
      </c>
      <c r="J104" s="56">
        <f>F105-D104</f>
        <v>-45.6</v>
      </c>
      <c r="K104" s="56">
        <f>F104-59.1</f>
        <v>-45.82</v>
      </c>
      <c r="L104" s="135">
        <f>F104/59.1</f>
        <v>0.22470389170896785</v>
      </c>
      <c r="M104" s="40">
        <f>E104-вересень!E104</f>
        <v>6</v>
      </c>
      <c r="N104" s="40">
        <f>F104-вересень!F104</f>
        <v>0</v>
      </c>
      <c r="O104" s="53">
        <f aca="true" t="shared" si="35" ref="O104:O110">N104-M104</f>
        <v>-6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27.2</v>
      </c>
      <c r="F105" s="169">
        <v>19.9</v>
      </c>
      <c r="G105" s="49">
        <f>F105-E105</f>
        <v>-7.300000000000001</v>
      </c>
      <c r="H105" s="40">
        <f>F105/E105*100</f>
        <v>73.16176470588235</v>
      </c>
      <c r="I105" s="56">
        <f t="shared" si="34"/>
        <v>-25.1</v>
      </c>
      <c r="J105" s="56">
        <f aca="true" t="shared" si="36" ref="J105:J110">F105/D105*100</f>
        <v>44.22222222222222</v>
      </c>
      <c r="K105" s="56">
        <f>F105-13.4</f>
        <v>6.499999999999998</v>
      </c>
      <c r="L105" s="135">
        <f>F105/13.4</f>
        <v>1.4850746268656716</v>
      </c>
      <c r="M105" s="40">
        <f>E105-вересень!E105</f>
        <v>3</v>
      </c>
      <c r="N105" s="40">
        <f>F105-вересень!F105</f>
        <v>0</v>
      </c>
      <c r="O105" s="53">
        <f t="shared" si="35"/>
        <v>-3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169">
        <v>0.37</v>
      </c>
      <c r="G106" s="49"/>
      <c r="H106" s="40"/>
      <c r="I106" s="56"/>
      <c r="J106" s="56"/>
      <c r="K106" s="56"/>
      <c r="L106" s="135"/>
      <c r="M106" s="40">
        <f>E106-вересень!E106</f>
        <v>0</v>
      </c>
      <c r="N106" s="40">
        <f>F106-вересень!F106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404727.3399999999</v>
      </c>
      <c r="F107" s="22">
        <f>F8+F74+F105+F106</f>
        <v>359159.93</v>
      </c>
      <c r="G107" s="181">
        <f>F107-E107</f>
        <v>-45567.409999999916</v>
      </c>
      <c r="H107" s="51">
        <f>F107/E107*100</f>
        <v>88.74120784625029</v>
      </c>
      <c r="I107" s="36">
        <f t="shared" si="34"/>
        <v>-147719.66999999998</v>
      </c>
      <c r="J107" s="36">
        <f t="shared" si="36"/>
        <v>70.85704968201522</v>
      </c>
      <c r="K107" s="36">
        <f>F107-358888.5</f>
        <v>271.429999999993</v>
      </c>
      <c r="L107" s="136">
        <f>F107/358888.5</f>
        <v>1.0007563073210761</v>
      </c>
      <c r="M107" s="22">
        <f>M8+M74+M105+M106</f>
        <v>41164.299999999974</v>
      </c>
      <c r="N107" s="22">
        <f>N8+N74+N105+N106</f>
        <v>1090.1770000000033</v>
      </c>
      <c r="O107" s="55">
        <f t="shared" si="35"/>
        <v>-40074.12299999997</v>
      </c>
      <c r="P107" s="36">
        <f>N107/M107*100</f>
        <v>2.6483554925020076</v>
      </c>
      <c r="Q107" s="36">
        <f>N107-39133.2</f>
        <v>-38043.022999999994</v>
      </c>
      <c r="R107" s="136">
        <f>N107/39133.2</f>
        <v>0.02785811024909804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320610.6</v>
      </c>
      <c r="F108" s="71">
        <f>F10-F18+F96</f>
        <v>284301.02</v>
      </c>
      <c r="G108" s="153">
        <f>G10-G18+G96</f>
        <v>-36309.57999999999</v>
      </c>
      <c r="H108" s="72">
        <f>F108/E108*100</f>
        <v>88.67486602127317</v>
      </c>
      <c r="I108" s="52">
        <f t="shared" si="34"/>
        <v>-103912.18</v>
      </c>
      <c r="J108" s="52">
        <f t="shared" si="36"/>
        <v>73.2332182419351</v>
      </c>
      <c r="K108" s="52">
        <f>F108-273558.9</f>
        <v>10742.119999999995</v>
      </c>
      <c r="L108" s="137">
        <f>F108/273558.9</f>
        <v>1.0392680333193327</v>
      </c>
      <c r="M108" s="71">
        <f>M10-M18+M96</f>
        <v>32356.599999999977</v>
      </c>
      <c r="N108" s="71">
        <f>N10-N18+N96</f>
        <v>904.96</v>
      </c>
      <c r="O108" s="53">
        <f t="shared" si="35"/>
        <v>-31451.639999999978</v>
      </c>
      <c r="P108" s="52">
        <f>N108/M108*100</f>
        <v>2.7968327945457823</v>
      </c>
      <c r="Q108" s="52">
        <f>N108-30069.2</f>
        <v>-29164.24</v>
      </c>
      <c r="R108" s="137">
        <f>N108/30069.2</f>
        <v>0.030095912096098333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84116.73999999993</v>
      </c>
      <c r="F109" s="71">
        <f>F107-F108</f>
        <v>74858.90999999997</v>
      </c>
      <c r="G109" s="182">
        <f>F109-E109</f>
        <v>-9257.829999999958</v>
      </c>
      <c r="H109" s="72">
        <f>F109/E109*100</f>
        <v>88.99406943255295</v>
      </c>
      <c r="I109" s="52">
        <f t="shared" si="34"/>
        <v>-43807.48999999999</v>
      </c>
      <c r="J109" s="52">
        <f t="shared" si="36"/>
        <v>63.083492884253666</v>
      </c>
      <c r="K109" s="52">
        <f>F109-85329.7</f>
        <v>-10470.790000000023</v>
      </c>
      <c r="L109" s="137">
        <f>F109/85329.7</f>
        <v>0.8772902049345067</v>
      </c>
      <c r="M109" s="71">
        <f>M107-M108</f>
        <v>8807.699999999997</v>
      </c>
      <c r="N109" s="71">
        <f>N107-N108</f>
        <v>185.21700000000328</v>
      </c>
      <c r="O109" s="53">
        <f t="shared" si="35"/>
        <v>-8622.482999999993</v>
      </c>
      <c r="P109" s="52">
        <f>N109/M109*100</f>
        <v>2.1028986000885967</v>
      </c>
      <c r="Q109" s="52">
        <f>N109-9064</f>
        <v>-8878.782999999996</v>
      </c>
      <c r="R109" s="137">
        <f>N109/9064</f>
        <v>0.0204343556928512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315240.7</v>
      </c>
      <c r="F110" s="71">
        <f>F108</f>
        <v>284301.02</v>
      </c>
      <c r="G110" s="111">
        <f>F110-E110</f>
        <v>-30939.679999999993</v>
      </c>
      <c r="H110" s="72">
        <f>F110/E110*100</f>
        <v>90.18537898183833</v>
      </c>
      <c r="I110" s="81">
        <f t="shared" si="34"/>
        <v>-103912.18</v>
      </c>
      <c r="J110" s="52">
        <f t="shared" si="36"/>
        <v>73.2332182419351</v>
      </c>
      <c r="K110" s="52"/>
      <c r="L110" s="137"/>
      <c r="M110" s="72">
        <f>E110-вересень!E110</f>
        <v>32356.600000000035</v>
      </c>
      <c r="N110" s="71">
        <f>N108</f>
        <v>904.96</v>
      </c>
      <c r="O110" s="63">
        <f t="shared" si="35"/>
        <v>-31451.640000000036</v>
      </c>
      <c r="P110" s="52">
        <f>N110/M110*100</f>
        <v>2.7968327945457774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283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172">
        <v>-0.14</v>
      </c>
      <c r="G114" s="49">
        <f aca="true" t="shared" si="37" ref="G114:G126">F114-E114</f>
        <v>-0.14</v>
      </c>
      <c r="H114" s="40"/>
      <c r="I114" s="60">
        <f aca="true" t="shared" si="38" ref="I114:I125">F114-D114</f>
        <v>-0.14</v>
      </c>
      <c r="J114" s="60"/>
      <c r="K114" s="60">
        <f>F114-21.5</f>
        <v>-21.64</v>
      </c>
      <c r="L114" s="138">
        <f>F114/21.5</f>
        <v>-0.0065116279069767444</v>
      </c>
      <c r="M114" s="40">
        <f>E114-вересень!E114</f>
        <v>0</v>
      </c>
      <c r="N114" s="40">
        <f>F114-вересень!F114</f>
        <v>0</v>
      </c>
      <c r="O114" s="53"/>
      <c r="P114" s="60"/>
      <c r="Q114" s="60">
        <f>N114-0.9</f>
        <v>-0.9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3007</v>
      </c>
      <c r="F115" s="174">
        <v>1148.79</v>
      </c>
      <c r="G115" s="49">
        <f t="shared" si="37"/>
        <v>-1858.21</v>
      </c>
      <c r="H115" s="40">
        <f aca="true" t="shared" si="39" ref="H115:H126">F115/E115*100</f>
        <v>38.20385766544729</v>
      </c>
      <c r="I115" s="60">
        <f t="shared" si="38"/>
        <v>-2522.71</v>
      </c>
      <c r="J115" s="60">
        <f aca="true" t="shared" si="40" ref="J115:J121">F115/D115*100</f>
        <v>31.28939125697944</v>
      </c>
      <c r="K115" s="60">
        <f>F115-3077.6</f>
        <v>-1928.81</v>
      </c>
      <c r="L115" s="138">
        <f>F115/3077.6</f>
        <v>0.37327462958149205</v>
      </c>
      <c r="M115" s="40">
        <f>E115-вересень!E115</f>
        <v>327.4000000000001</v>
      </c>
      <c r="N115" s="40">
        <f>F115-вересень!F115</f>
        <v>25.8599999999999</v>
      </c>
      <c r="O115" s="53">
        <f aca="true" t="shared" si="41" ref="O115:O126">N115-M115</f>
        <v>-301.5400000000002</v>
      </c>
      <c r="P115" s="60">
        <f>N115/M115*100</f>
        <v>7.898594990836864</v>
      </c>
      <c r="Q115" s="60">
        <f>N115-150.5</f>
        <v>-124.6400000000001</v>
      </c>
      <c r="R115" s="138">
        <f>N115/150.5</f>
        <v>0.17182724252491627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222.5</v>
      </c>
      <c r="F116" s="172">
        <v>238.63</v>
      </c>
      <c r="G116" s="49">
        <f t="shared" si="37"/>
        <v>16.129999999999995</v>
      </c>
      <c r="H116" s="40">
        <f t="shared" si="39"/>
        <v>107.24943820224719</v>
      </c>
      <c r="I116" s="60">
        <f t="shared" si="38"/>
        <v>-29.470000000000027</v>
      </c>
      <c r="J116" s="60">
        <f t="shared" si="40"/>
        <v>89.00783289817231</v>
      </c>
      <c r="K116" s="60">
        <f>F116-200.1</f>
        <v>38.53</v>
      </c>
      <c r="L116" s="138">
        <f>F116/200.1</f>
        <v>1.1925537231384309</v>
      </c>
      <c r="M116" s="40">
        <f>E116-вересень!E116</f>
        <v>22</v>
      </c>
      <c r="N116" s="40">
        <f>F116-вересень!F116</f>
        <v>1.4699999999999989</v>
      </c>
      <c r="O116" s="53">
        <f t="shared" si="41"/>
        <v>-20.53</v>
      </c>
      <c r="P116" s="60">
        <f>N116/M116*100</f>
        <v>6.681818181818176</v>
      </c>
      <c r="Q116" s="60">
        <f>N116-24.4</f>
        <v>-22.93</v>
      </c>
      <c r="R116" s="138">
        <f>N116/24.4</f>
        <v>0.06024590163934422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3229.5</v>
      </c>
      <c r="F117" s="173">
        <f>SUM(F114:F116)</f>
        <v>1387.2799999999997</v>
      </c>
      <c r="G117" s="62">
        <f t="shared" si="37"/>
        <v>-1842.2200000000003</v>
      </c>
      <c r="H117" s="72">
        <f t="shared" si="39"/>
        <v>42.9564948134386</v>
      </c>
      <c r="I117" s="61">
        <f t="shared" si="38"/>
        <v>-2552.32</v>
      </c>
      <c r="J117" s="61">
        <f t="shared" si="40"/>
        <v>35.21372728195755</v>
      </c>
      <c r="K117" s="61">
        <f>F117-3299.2</f>
        <v>-1911.92</v>
      </c>
      <c r="L117" s="139">
        <f>F117/3299.2</f>
        <v>0.42048981571290006</v>
      </c>
      <c r="M117" s="62">
        <f>M115+M116+M114</f>
        <v>349.4000000000001</v>
      </c>
      <c r="N117" s="38">
        <f>SUM(N114:N116)</f>
        <v>27.3299999999999</v>
      </c>
      <c r="O117" s="61">
        <f t="shared" si="41"/>
        <v>-322.07000000000016</v>
      </c>
      <c r="P117" s="61">
        <f>N117/M117*100</f>
        <v>7.821980538065223</v>
      </c>
      <c r="Q117" s="61">
        <f>N117-175.8</f>
        <v>-148.4700000000001</v>
      </c>
      <c r="R117" s="139">
        <f>N117/175.8</f>
        <v>0.15546075085324174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260.5</v>
      </c>
      <c r="F119" s="174">
        <v>314.55</v>
      </c>
      <c r="G119" s="49">
        <f t="shared" si="37"/>
        <v>54.05000000000001</v>
      </c>
      <c r="H119" s="40">
        <f t="shared" si="39"/>
        <v>120.74856046065258</v>
      </c>
      <c r="I119" s="60">
        <f t="shared" si="38"/>
        <v>47.35000000000002</v>
      </c>
      <c r="J119" s="60">
        <f t="shared" si="40"/>
        <v>117.72080838323353</v>
      </c>
      <c r="K119" s="60">
        <f>F119-174.4</f>
        <v>140.15</v>
      </c>
      <c r="L119" s="138">
        <f>F119/174.4</f>
        <v>1.803612385321101</v>
      </c>
      <c r="M119" s="40">
        <f>E119-вересень!E119</f>
        <v>73</v>
      </c>
      <c r="N119" s="40">
        <f>F119-вересень!F119</f>
        <v>0.4000000000000341</v>
      </c>
      <c r="O119" s="53">
        <f>N119-M119</f>
        <v>-72.59999999999997</v>
      </c>
      <c r="P119" s="60">
        <f>N119/M119*100</f>
        <v>0.5479452054794988</v>
      </c>
      <c r="Q119" s="60">
        <f>N119-1.4</f>
        <v>-0.9999999999999658</v>
      </c>
      <c r="R119" s="138">
        <f>N119/1.4</f>
        <v>0.28571428571431007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60012.6</v>
      </c>
      <c r="F120" s="174">
        <v>59865.15</v>
      </c>
      <c r="G120" s="49">
        <f t="shared" si="37"/>
        <v>-147.4499999999971</v>
      </c>
      <c r="H120" s="40">
        <f t="shared" si="39"/>
        <v>99.7543015966647</v>
      </c>
      <c r="I120" s="53">
        <f t="shared" si="38"/>
        <v>-12110.840000000004</v>
      </c>
      <c r="J120" s="60">
        <f t="shared" si="40"/>
        <v>83.17377781118398</v>
      </c>
      <c r="K120" s="60">
        <f>F120-50659.1</f>
        <v>9206.050000000003</v>
      </c>
      <c r="L120" s="138">
        <f>F120/50659.1</f>
        <v>1.1817254945310913</v>
      </c>
      <c r="M120" s="40">
        <f>E120-вересень!E120</f>
        <v>7500</v>
      </c>
      <c r="N120" s="40">
        <f>F120-вересень!F120</f>
        <v>328.6900000000023</v>
      </c>
      <c r="O120" s="53">
        <f t="shared" si="41"/>
        <v>-7171.309999999998</v>
      </c>
      <c r="P120" s="60">
        <f aca="true" t="shared" si="42" ref="P120:P125">N120/M120*100</f>
        <v>4.382533333333365</v>
      </c>
      <c r="Q120" s="60">
        <f>N120-3034.9</f>
        <v>-2706.2099999999978</v>
      </c>
      <c r="R120" s="138">
        <f>N120/3034.9</f>
        <v>0.10830340373653244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3199.4</v>
      </c>
      <c r="F121" s="174">
        <v>1754.74</v>
      </c>
      <c r="G121" s="49">
        <f t="shared" si="37"/>
        <v>-1444.66</v>
      </c>
      <c r="H121" s="40">
        <f t="shared" si="39"/>
        <v>54.84590860786397</v>
      </c>
      <c r="I121" s="60">
        <f t="shared" si="38"/>
        <v>-2995.26</v>
      </c>
      <c r="J121" s="60">
        <f t="shared" si="40"/>
        <v>36.94189473684211</v>
      </c>
      <c r="K121" s="60">
        <f>F121-1289.6</f>
        <v>465.1400000000001</v>
      </c>
      <c r="L121" s="138">
        <f>F121/1289.6</f>
        <v>1.3606854838709679</v>
      </c>
      <c r="M121" s="40">
        <f>E121-вересень!E121</f>
        <v>1476.4</v>
      </c>
      <c r="N121" s="40">
        <f>F121-вересень!F121</f>
        <v>0.009999999999990905</v>
      </c>
      <c r="O121" s="53">
        <f t="shared" si="41"/>
        <v>-1476.39</v>
      </c>
      <c r="P121" s="60">
        <f t="shared" si="42"/>
        <v>0.0006773232186393189</v>
      </c>
      <c r="Q121" s="60">
        <f>N121-167.3</f>
        <v>-167.29000000000002</v>
      </c>
      <c r="R121" s="138">
        <f>N121/167.3</f>
        <v>5.977286312008909E-05</v>
      </c>
    </row>
    <row r="122" spans="2:18" ht="27" customHeight="1">
      <c r="B122" s="30" t="s">
        <v>112</v>
      </c>
      <c r="C122" s="106">
        <v>33010000</v>
      </c>
      <c r="D122" s="33">
        <f>23078-0.87</f>
        <v>23077.13</v>
      </c>
      <c r="E122" s="33">
        <v>17576.23</v>
      </c>
      <c r="F122" s="174">
        <v>2643.85</v>
      </c>
      <c r="G122" s="49">
        <f t="shared" si="37"/>
        <v>-14932.38</v>
      </c>
      <c r="H122" s="40">
        <f t="shared" si="39"/>
        <v>15.042190503879388</v>
      </c>
      <c r="I122" s="60">
        <f t="shared" si="38"/>
        <v>-20433.280000000002</v>
      </c>
      <c r="J122" s="60">
        <f>F122/D122*100</f>
        <v>11.4565806059939</v>
      </c>
      <c r="K122" s="60">
        <f>F122-22303.9</f>
        <v>-19660.050000000003</v>
      </c>
      <c r="L122" s="138">
        <f>F122/22303.9</f>
        <v>0.1185375651791839</v>
      </c>
      <c r="M122" s="40">
        <f>E122-вересень!E122</f>
        <v>4648.800000000001</v>
      </c>
      <c r="N122" s="40">
        <f>F122-вересень!F122</f>
        <v>250.61000000000013</v>
      </c>
      <c r="O122" s="53">
        <f t="shared" si="41"/>
        <v>-4398.1900000000005</v>
      </c>
      <c r="P122" s="60">
        <f t="shared" si="42"/>
        <v>5.390853553605233</v>
      </c>
      <c r="Q122" s="60">
        <f>N122-7566.7</f>
        <v>-7316.09</v>
      </c>
      <c r="R122" s="138">
        <f>N122/7566.7</f>
        <v>0.03312011841357529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1620.81</v>
      </c>
      <c r="F123" s="174">
        <v>1075.31</v>
      </c>
      <c r="G123" s="49">
        <f t="shared" si="37"/>
        <v>-545.5</v>
      </c>
      <c r="H123" s="40">
        <f t="shared" si="39"/>
        <v>66.34398849957736</v>
      </c>
      <c r="I123" s="60">
        <f t="shared" si="38"/>
        <v>-924.69</v>
      </c>
      <c r="J123" s="60">
        <f>F123/D123*100</f>
        <v>53.7655</v>
      </c>
      <c r="K123" s="60">
        <f>F123-1660.3</f>
        <v>-584.99</v>
      </c>
      <c r="L123" s="138">
        <f>F123/1660.3</f>
        <v>0.6476600614346805</v>
      </c>
      <c r="M123" s="40">
        <f>E123-вересень!E123</f>
        <v>189.58999999999992</v>
      </c>
      <c r="N123" s="40">
        <f>F123-вересень!F123</f>
        <v>0.3999999999998636</v>
      </c>
      <c r="O123" s="53">
        <f t="shared" si="41"/>
        <v>-189.19000000000005</v>
      </c>
      <c r="P123" s="60">
        <f t="shared" si="42"/>
        <v>0.21098159185603868</v>
      </c>
      <c r="Q123" s="60">
        <f>N123-20.2</f>
        <v>-19.800000000000136</v>
      </c>
      <c r="R123" s="138">
        <f>N123/20.2</f>
        <v>0.01980198019801305</v>
      </c>
    </row>
    <row r="124" spans="2:18" ht="34.5">
      <c r="B124" s="37" t="s">
        <v>144</v>
      </c>
      <c r="C124" s="95"/>
      <c r="D124" s="38">
        <f>D120+D121+D122+D123+D119</f>
        <v>102070.32</v>
      </c>
      <c r="E124" s="38">
        <f>E120+E121+E122+E123+E119</f>
        <v>82669.54</v>
      </c>
      <c r="F124" s="173">
        <f>F120+F121+F122+F123+F119</f>
        <v>65653.59999999999</v>
      </c>
      <c r="G124" s="62">
        <f t="shared" si="37"/>
        <v>-17015.940000000002</v>
      </c>
      <c r="H124" s="72">
        <f t="shared" si="39"/>
        <v>79.41691704102864</v>
      </c>
      <c r="I124" s="61">
        <f t="shared" si="38"/>
        <v>-36416.720000000016</v>
      </c>
      <c r="J124" s="61">
        <f>F124/D124*100</f>
        <v>64.32193021438553</v>
      </c>
      <c r="K124" s="61">
        <f>F124-76087.4</f>
        <v>-10433.800000000003</v>
      </c>
      <c r="L124" s="139">
        <f>F124/76087.4</f>
        <v>0.8628708564098655</v>
      </c>
      <c r="M124" s="62">
        <f>M120+M121+M122+M123+M119</f>
        <v>13887.79</v>
      </c>
      <c r="N124" s="62">
        <f>N120+N121+N122+N123+N119</f>
        <v>580.1100000000024</v>
      </c>
      <c r="O124" s="61">
        <f t="shared" si="41"/>
        <v>-13307.679999999998</v>
      </c>
      <c r="P124" s="61">
        <f t="shared" si="42"/>
        <v>4.177122493931737</v>
      </c>
      <c r="Q124" s="61">
        <f>N124-10790.5</f>
        <v>-10210.389999999998</v>
      </c>
      <c r="R124" s="139">
        <f>N124/10790.5</f>
        <v>0.053761178814698336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31.16</v>
      </c>
      <c r="F125" s="174">
        <v>24.17</v>
      </c>
      <c r="G125" s="49">
        <f t="shared" si="37"/>
        <v>-6.989999999999998</v>
      </c>
      <c r="H125" s="40">
        <f t="shared" si="39"/>
        <v>77.56739409499359</v>
      </c>
      <c r="I125" s="60">
        <f t="shared" si="38"/>
        <v>-19.33</v>
      </c>
      <c r="J125" s="60">
        <f>F125/D125*100</f>
        <v>55.5632183908046</v>
      </c>
      <c r="K125" s="60">
        <f>F125-111.8</f>
        <v>-87.63</v>
      </c>
      <c r="L125" s="138">
        <f>F125/111.8</f>
        <v>0.21618962432915922</v>
      </c>
      <c r="M125" s="40">
        <f>E125-вересень!E125</f>
        <v>4</v>
      </c>
      <c r="N125" s="40">
        <f>F125-вересень!F125</f>
        <v>0</v>
      </c>
      <c r="O125" s="53">
        <f t="shared" si="41"/>
        <v>-4</v>
      </c>
      <c r="P125" s="60">
        <f t="shared" si="42"/>
        <v>0</v>
      </c>
      <c r="Q125" s="60">
        <f>N125-0</f>
        <v>0</v>
      </c>
      <c r="R125" s="138" t="e">
        <f>N125/0</f>
        <v>#DIV/0!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174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E126-вересень!E126</f>
        <v>0</v>
      </c>
      <c r="N126" s="40">
        <f>F126-вересень!F126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174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E127-вересень!E127</f>
        <v>0</v>
      </c>
      <c r="N127" s="40">
        <f>F127-вересень!F127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6720.5</v>
      </c>
      <c r="F128" s="174">
        <v>7368.88</v>
      </c>
      <c r="G128" s="49">
        <f aca="true" t="shared" si="43" ref="G128:G135">F128-E128</f>
        <v>648.3800000000001</v>
      </c>
      <c r="H128" s="40">
        <f>F128/E128*100</f>
        <v>109.64779406294174</v>
      </c>
      <c r="I128" s="60">
        <f aca="true" t="shared" si="44" ref="I128:I135">F128-D128</f>
        <v>-1331.12</v>
      </c>
      <c r="J128" s="60">
        <f>F128/D128*100</f>
        <v>84.69977011494252</v>
      </c>
      <c r="K128" s="60">
        <f>F128-8715.2</f>
        <v>-1346.3200000000006</v>
      </c>
      <c r="L128" s="138">
        <f>F128/8715.2</f>
        <v>0.8455204699834771</v>
      </c>
      <c r="M128" s="40">
        <f>E128-вересень!E128</f>
        <v>2</v>
      </c>
      <c r="N128" s="40">
        <f>F128-вересень!F128</f>
        <v>0</v>
      </c>
      <c r="O128" s="53">
        <f aca="true" t="shared" si="45" ref="O128:O135">N128-M128</f>
        <v>-2</v>
      </c>
      <c r="P128" s="60">
        <f>N128/M128*100</f>
        <v>0</v>
      </c>
      <c r="Q128" s="60">
        <f>N128-35</f>
        <v>-35</v>
      </c>
      <c r="R128" s="162">
        <f>N128/35</f>
        <v>0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174">
        <v>1.08</v>
      </c>
      <c r="G129" s="49">
        <f t="shared" si="43"/>
        <v>1.08</v>
      </c>
      <c r="H129" s="40"/>
      <c r="I129" s="60">
        <f t="shared" si="44"/>
        <v>1.08</v>
      </c>
      <c r="J129" s="60"/>
      <c r="K129" s="60">
        <f>F129-1</f>
        <v>0.08000000000000007</v>
      </c>
      <c r="L129" s="138">
        <f>F129/1</f>
        <v>1.08</v>
      </c>
      <c r="M129" s="40">
        <f>E129-вересень!E129</f>
        <v>0</v>
      </c>
      <c r="N129" s="40">
        <f>F129-вересень!F129</f>
        <v>0</v>
      </c>
      <c r="O129" s="53">
        <f t="shared" si="45"/>
        <v>0</v>
      </c>
      <c r="P129" s="60"/>
      <c r="Q129" s="60">
        <f>N129-0.7</f>
        <v>-0.7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6758.86</v>
      </c>
      <c r="F130" s="173">
        <f>F128+F125+F129+F127</f>
        <v>7413.61</v>
      </c>
      <c r="G130" s="62">
        <f t="shared" si="43"/>
        <v>654.75</v>
      </c>
      <c r="H130" s="72">
        <f>F130/E130*100</f>
        <v>109.68728454206776</v>
      </c>
      <c r="I130" s="61">
        <f t="shared" si="44"/>
        <v>-1337.090000000001</v>
      </c>
      <c r="J130" s="61">
        <f>F130/D130*100</f>
        <v>84.72019381306637</v>
      </c>
      <c r="K130" s="61">
        <f>F130-8836.4</f>
        <v>-1422.79</v>
      </c>
      <c r="L130" s="139">
        <f>G130/8836.4</f>
        <v>0.07409691729663664</v>
      </c>
      <c r="M130" s="62">
        <f>M125+M128+M129+M127</f>
        <v>6</v>
      </c>
      <c r="N130" s="62">
        <f>N125+N128+N129+N127</f>
        <v>0</v>
      </c>
      <c r="O130" s="61">
        <f t="shared" si="45"/>
        <v>-6</v>
      </c>
      <c r="P130" s="61">
        <f>N130/M130*100</f>
        <v>0</v>
      </c>
      <c r="Q130" s="61">
        <f>N130-35.8</f>
        <v>-35.8</v>
      </c>
      <c r="R130" s="137">
        <f>N130/35.8</f>
        <v>0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23.85</v>
      </c>
      <c r="F131" s="174">
        <v>31.86</v>
      </c>
      <c r="G131" s="49">
        <f>F131-E131</f>
        <v>8.009999999999998</v>
      </c>
      <c r="H131" s="40">
        <f>F131/E131*100</f>
        <v>133.58490566037736</v>
      </c>
      <c r="I131" s="60">
        <f>F131-D131</f>
        <v>1.8599999999999994</v>
      </c>
      <c r="J131" s="60">
        <f>F131/D131*100</f>
        <v>106.2</v>
      </c>
      <c r="K131" s="60">
        <f>F131-25.4</f>
        <v>6.460000000000001</v>
      </c>
      <c r="L131" s="138">
        <f>F131/25.4</f>
        <v>1.2543307086614173</v>
      </c>
      <c r="M131" s="40">
        <f>E131-вересень!E131</f>
        <v>0.40000000000000213</v>
      </c>
      <c r="N131" s="40">
        <f>F131-вересень!F131</f>
        <v>0</v>
      </c>
      <c r="O131" s="53">
        <f>N131-M131</f>
        <v>-0.40000000000000213</v>
      </c>
      <c r="P131" s="60">
        <f>N131/M131*100</f>
        <v>0</v>
      </c>
      <c r="Q131" s="60">
        <f>N131-7.6</f>
        <v>-7.6</v>
      </c>
      <c r="R131" s="138">
        <f>N131/7.6</f>
        <v>0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E132-вересень!E132</f>
        <v>0</v>
      </c>
      <c r="N132" s="40">
        <f>F132-вересень!F132</f>
        <v>0</v>
      </c>
      <c r="O132" s="53"/>
      <c r="P132" s="60"/>
      <c r="Q132" s="60">
        <f>N132-0.4</f>
        <v>-0.4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174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E133-вересень!E133</f>
        <v>0</v>
      </c>
      <c r="N133" s="40">
        <f>F133-вересень!F133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114790.62000000001</v>
      </c>
      <c r="E134" s="31">
        <f>E117+E131+E124+E130+E133+E132</f>
        <v>92681.75</v>
      </c>
      <c r="F134" s="31">
        <f>F117+F131+F124+F130+F133+F132</f>
        <v>74486.34999999999</v>
      </c>
      <c r="G134" s="50">
        <f t="shared" si="43"/>
        <v>-18195.40000000001</v>
      </c>
      <c r="H134" s="51">
        <f>F134/E134*100</f>
        <v>80.36787177626663</v>
      </c>
      <c r="I134" s="36">
        <f t="shared" si="44"/>
        <v>-40304.27000000002</v>
      </c>
      <c r="J134" s="36">
        <f>F134/D134*100</f>
        <v>64.88888203583183</v>
      </c>
      <c r="K134" s="36">
        <f>F134-88248.3</f>
        <v>-13761.950000000012</v>
      </c>
      <c r="L134" s="136">
        <f>F134/88248.3</f>
        <v>0.8440542197413433</v>
      </c>
      <c r="M134" s="31">
        <f>M117+M131+M124+M130+M133+M132</f>
        <v>14243.59</v>
      </c>
      <c r="N134" s="31">
        <f>N117+N131+N124+N130+N133+N132</f>
        <v>607.4400000000023</v>
      </c>
      <c r="O134" s="36">
        <f t="shared" si="45"/>
        <v>-13636.149999999998</v>
      </c>
      <c r="P134" s="36">
        <f>N134/M134*100</f>
        <v>4.264655188755098</v>
      </c>
      <c r="Q134" s="36">
        <f>N134-11009.7</f>
        <v>-10402.259999999998</v>
      </c>
      <c r="R134" s="136">
        <f>N134/11009.7</f>
        <v>0.05517316548134847</v>
      </c>
    </row>
    <row r="135" spans="2:18" ht="30.75" customHeight="1">
      <c r="B135" s="28" t="s">
        <v>115</v>
      </c>
      <c r="C135" s="96"/>
      <c r="D135" s="31">
        <f>D107+D134</f>
        <v>621670.22</v>
      </c>
      <c r="E135" s="31">
        <f>E107+E134</f>
        <v>497409.0899999999</v>
      </c>
      <c r="F135" s="31">
        <f>F107+F134</f>
        <v>433646.27999999997</v>
      </c>
      <c r="G135" s="50">
        <f t="shared" si="43"/>
        <v>-63762.80999999994</v>
      </c>
      <c r="H135" s="51">
        <f>F135/E135*100</f>
        <v>87.18101231322493</v>
      </c>
      <c r="I135" s="36">
        <f t="shared" si="44"/>
        <v>-188023.94</v>
      </c>
      <c r="J135" s="36">
        <f>F135/D135*100</f>
        <v>69.75503507309712</v>
      </c>
      <c r="K135" s="36">
        <f>F135-447136.8</f>
        <v>-13490.520000000019</v>
      </c>
      <c r="L135" s="136">
        <f>F135/447136.8</f>
        <v>0.9698290992823673</v>
      </c>
      <c r="M135" s="22">
        <f>M107+M134</f>
        <v>55407.88999999997</v>
      </c>
      <c r="N135" s="22">
        <f>N107+N134</f>
        <v>1697.6170000000056</v>
      </c>
      <c r="O135" s="36">
        <f t="shared" si="45"/>
        <v>-53710.272999999965</v>
      </c>
      <c r="P135" s="36">
        <f>N135/M135*100</f>
        <v>3.0638542633549237</v>
      </c>
      <c r="Q135" s="36">
        <f>N135-50142.9</f>
        <v>-48445.282999999996</v>
      </c>
      <c r="R135" s="136">
        <f>N135/50142.9</f>
        <v>0.033855580750216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21</v>
      </c>
      <c r="D137" s="4" t="s">
        <v>118</v>
      </c>
    </row>
    <row r="138" spans="2:17" ht="31.5">
      <c r="B138" s="78" t="s">
        <v>154</v>
      </c>
      <c r="C138" s="39">
        <f>IF(O107&lt;0,ABS(O107/C137),0)</f>
        <v>1908.29157142857</v>
      </c>
      <c r="D138" s="4" t="s">
        <v>104</v>
      </c>
      <c r="G138" s="198"/>
      <c r="H138" s="198"/>
      <c r="I138" s="198"/>
      <c r="J138" s="198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41914</v>
      </c>
      <c r="D139" s="39">
        <v>434.1</v>
      </c>
      <c r="N139" s="193"/>
      <c r="O139" s="193"/>
    </row>
    <row r="140" spans="3:15" ht="15.75">
      <c r="C140" s="120">
        <v>41913</v>
      </c>
      <c r="D140" s="39">
        <v>592</v>
      </c>
      <c r="F140" s="4" t="s">
        <v>166</v>
      </c>
      <c r="G140" s="189" t="s">
        <v>151</v>
      </c>
      <c r="H140" s="189"/>
      <c r="I140" s="115">
        <v>9020.59653</v>
      </c>
      <c r="J140" s="190" t="s">
        <v>161</v>
      </c>
      <c r="K140" s="190"/>
      <c r="L140" s="190"/>
      <c r="M140" s="190"/>
      <c r="N140" s="193"/>
      <c r="O140" s="193"/>
    </row>
    <row r="141" spans="3:15" ht="15.75">
      <c r="C141" s="120">
        <v>41912</v>
      </c>
      <c r="D141" s="39">
        <v>4136.8</v>
      </c>
      <c r="G141" s="191" t="s">
        <v>155</v>
      </c>
      <c r="H141" s="191"/>
      <c r="I141" s="112">
        <v>0</v>
      </c>
      <c r="J141" s="192" t="s">
        <v>162</v>
      </c>
      <c r="K141" s="192"/>
      <c r="L141" s="192"/>
      <c r="M141" s="192"/>
      <c r="N141" s="193"/>
      <c r="O141" s="193"/>
    </row>
    <row r="142" spans="7:13" ht="15.75" customHeight="1">
      <c r="G142" s="189" t="s">
        <v>148</v>
      </c>
      <c r="H142" s="189"/>
      <c r="I142" s="112">
        <v>0</v>
      </c>
      <c r="J142" s="190" t="s">
        <v>163</v>
      </c>
      <c r="K142" s="190"/>
      <c r="L142" s="190"/>
      <c r="M142" s="190"/>
    </row>
    <row r="143" spans="2:13" ht="18.75" customHeight="1">
      <c r="B143" s="187" t="s">
        <v>160</v>
      </c>
      <c r="C143" s="188"/>
      <c r="D143" s="117">
        <v>121105.87190000001</v>
      </c>
      <c r="E143" s="80"/>
      <c r="F143" s="100" t="s">
        <v>147</v>
      </c>
      <c r="G143" s="189" t="s">
        <v>149</v>
      </c>
      <c r="H143" s="189"/>
      <c r="I143" s="116">
        <v>112085.27537</v>
      </c>
      <c r="J143" s="190" t="s">
        <v>164</v>
      </c>
      <c r="K143" s="190"/>
      <c r="L143" s="190"/>
      <c r="M143" s="190"/>
    </row>
    <row r="144" spans="7:12" ht="9.75" customHeight="1">
      <c r="G144" s="183"/>
      <c r="H144" s="183"/>
      <c r="I144" s="98"/>
      <c r="J144" s="99"/>
      <c r="K144" s="99"/>
      <c r="L144" s="99"/>
    </row>
    <row r="145" spans="2:12" ht="22.5" customHeight="1">
      <c r="B145" s="184" t="s">
        <v>169</v>
      </c>
      <c r="C145" s="185"/>
      <c r="D145" s="119">
        <v>17423.205409999995</v>
      </c>
      <c r="E145" s="77" t="s">
        <v>104</v>
      </c>
      <c r="G145" s="183"/>
      <c r="H145" s="183"/>
      <c r="I145" s="98"/>
      <c r="J145" s="99"/>
      <c r="K145" s="99"/>
      <c r="L145" s="99"/>
    </row>
    <row r="146" spans="4:15" ht="15.75">
      <c r="D146" s="114"/>
      <c r="N146" s="183"/>
      <c r="O146" s="183"/>
    </row>
    <row r="147" spans="4:15" ht="15.75">
      <c r="D147" s="113"/>
      <c r="I147" s="39"/>
      <c r="N147" s="186"/>
      <c r="O147" s="186"/>
    </row>
    <row r="148" spans="14:15" ht="15.75">
      <c r="N148" s="183"/>
      <c r="O148" s="183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35" right="0.18" top="0.29" bottom="0.38" header="0.2" footer="0.29"/>
  <pageSetup fitToHeight="1" fitToWidth="1" horizontalDpi="600" verticalDpi="600" orientation="portrait" paperSize="9" scale="4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8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04" sqref="F104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1.00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129" customWidth="1"/>
    <col min="19" max="16384" width="9.125" style="4" customWidth="1"/>
  </cols>
  <sheetData>
    <row r="1" spans="1:18" s="1" customFormat="1" ht="26.25" customHeight="1">
      <c r="A1" s="209" t="s">
        <v>183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126"/>
      <c r="R1" s="127"/>
    </row>
    <row r="2" spans="2:18" s="1" customFormat="1" ht="15.75" customHeight="1">
      <c r="B2" s="210"/>
      <c r="C2" s="210"/>
      <c r="D2" s="21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211"/>
      <c r="B3" s="176"/>
      <c r="C3" s="177" t="s">
        <v>0</v>
      </c>
      <c r="D3" s="227" t="s">
        <v>192</v>
      </c>
      <c r="E3" s="46"/>
      <c r="F3" s="228" t="s">
        <v>107</v>
      </c>
      <c r="G3" s="229"/>
      <c r="H3" s="229"/>
      <c r="I3" s="229"/>
      <c r="J3" s="230"/>
      <c r="K3" s="123"/>
      <c r="L3" s="123"/>
      <c r="M3" s="207" t="s">
        <v>200</v>
      </c>
      <c r="N3" s="222" t="s">
        <v>178</v>
      </c>
      <c r="O3" s="222"/>
      <c r="P3" s="222"/>
      <c r="Q3" s="222"/>
      <c r="R3" s="222"/>
    </row>
    <row r="4" spans="1:18" ht="22.5" customHeight="1">
      <c r="A4" s="211"/>
      <c r="B4" s="176"/>
      <c r="C4" s="177"/>
      <c r="D4" s="227"/>
      <c r="E4" s="232" t="s">
        <v>153</v>
      </c>
      <c r="F4" s="223" t="s">
        <v>116</v>
      </c>
      <c r="G4" s="225" t="s">
        <v>175</v>
      </c>
      <c r="H4" s="205" t="s">
        <v>176</v>
      </c>
      <c r="I4" s="220" t="s">
        <v>188</v>
      </c>
      <c r="J4" s="218" t="s">
        <v>189</v>
      </c>
      <c r="K4" s="125" t="s">
        <v>174</v>
      </c>
      <c r="L4" s="130" t="s">
        <v>173</v>
      </c>
      <c r="M4" s="234"/>
      <c r="N4" s="199" t="s">
        <v>186</v>
      </c>
      <c r="O4" s="220" t="s">
        <v>136</v>
      </c>
      <c r="P4" s="222" t="s">
        <v>135</v>
      </c>
      <c r="Q4" s="131" t="s">
        <v>174</v>
      </c>
      <c r="R4" s="132" t="s">
        <v>173</v>
      </c>
    </row>
    <row r="5" spans="1:18" ht="82.5" customHeight="1">
      <c r="A5" s="175"/>
      <c r="B5" s="176"/>
      <c r="C5" s="177"/>
      <c r="D5" s="227"/>
      <c r="E5" s="233"/>
      <c r="F5" s="224"/>
      <c r="G5" s="226"/>
      <c r="H5" s="206"/>
      <c r="I5" s="221"/>
      <c r="J5" s="219"/>
      <c r="K5" s="196" t="s">
        <v>177</v>
      </c>
      <c r="L5" s="197"/>
      <c r="M5" s="208"/>
      <c r="N5" s="200"/>
      <c r="O5" s="221"/>
      <c r="P5" s="222"/>
      <c r="Q5" s="196" t="s">
        <v>179</v>
      </c>
      <c r="R5" s="197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35813.7</v>
      </c>
      <c r="F8" s="22">
        <f>F10+F19+F33+F56+F68+F30</f>
        <v>33748.16</v>
      </c>
      <c r="G8" s="22">
        <f aca="true" t="shared" si="0" ref="G8:G30">F8-E8</f>
        <v>-2065.5399999999936</v>
      </c>
      <c r="H8" s="51">
        <f>F8/E8*100</f>
        <v>94.23254229526691</v>
      </c>
      <c r="I8" s="36">
        <f aca="true" t="shared" si="1" ref="I8:I17">F8-D8</f>
        <v>-485581.14</v>
      </c>
      <c r="J8" s="36">
        <f aca="true" t="shared" si="2" ref="J8:J14">F8/D8*100</f>
        <v>6.49841247162446</v>
      </c>
      <c r="K8" s="36">
        <f>F8-33601.5</f>
        <v>146.6600000000035</v>
      </c>
      <c r="L8" s="36">
        <f>F8/33601.5*100</f>
        <v>100.4364686100323</v>
      </c>
      <c r="M8" s="22">
        <f>M10+M19+M33+M56+M68+M30</f>
        <v>35813.7</v>
      </c>
      <c r="N8" s="22">
        <f>N10+N19+N33+N56+N68+N30</f>
        <v>33748.16</v>
      </c>
      <c r="O8" s="36">
        <f aca="true" t="shared" si="3" ref="O8:O55">N8-M8</f>
        <v>-2065.5399999999936</v>
      </c>
      <c r="P8" s="36">
        <f>F8/M8*100</f>
        <v>94.23254229526691</v>
      </c>
      <c r="Q8" s="36">
        <f>N8-33601.5</f>
        <v>146.6600000000035</v>
      </c>
      <c r="R8" s="134">
        <f>N8/33601.5</f>
        <v>1.004364686100323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26568.11</v>
      </c>
      <c r="G9" s="22">
        <f t="shared" si="0"/>
        <v>26568.11</v>
      </c>
      <c r="H9" s="20"/>
      <c r="I9" s="56">
        <f t="shared" si="1"/>
        <v>-391798.09</v>
      </c>
      <c r="J9" s="56">
        <f t="shared" si="2"/>
        <v>6.3504437021920035</v>
      </c>
      <c r="K9" s="56"/>
      <c r="L9" s="56"/>
      <c r="M9" s="20">
        <f>M10+M17</f>
        <v>28633.9</v>
      </c>
      <c r="N9" s="20">
        <f>N10+N17</f>
        <v>26568.11</v>
      </c>
      <c r="O9" s="36">
        <f t="shared" si="3"/>
        <v>-2065.790000000001</v>
      </c>
      <c r="P9" s="56">
        <f>F9/M9*100</f>
        <v>92.78550948351429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28633.9</v>
      </c>
      <c r="F10" s="40">
        <v>26568.11</v>
      </c>
      <c r="G10" s="49">
        <f t="shared" si="0"/>
        <v>-2065.790000000001</v>
      </c>
      <c r="H10" s="40">
        <f aca="true" t="shared" si="4" ref="H10:H17">F10/E10*100</f>
        <v>92.78550948351429</v>
      </c>
      <c r="I10" s="56">
        <f t="shared" si="1"/>
        <v>-391798.09</v>
      </c>
      <c r="J10" s="56">
        <f t="shared" si="2"/>
        <v>6.3504437021920035</v>
      </c>
      <c r="K10" s="141">
        <f>F10-26732.4</f>
        <v>-164.29000000000087</v>
      </c>
      <c r="L10" s="141">
        <f>F10/26732.4*100</f>
        <v>99.38542742140622</v>
      </c>
      <c r="M10" s="40">
        <f>E10</f>
        <v>28633.9</v>
      </c>
      <c r="N10" s="40">
        <f>F10</f>
        <v>26568.11</v>
      </c>
      <c r="O10" s="53">
        <f t="shared" si="3"/>
        <v>-2065.790000000001</v>
      </c>
      <c r="P10" s="56">
        <f aca="true" t="shared" si="5" ref="P10:P17">N10/M10*100</f>
        <v>92.78550948351429</v>
      </c>
      <c r="Q10" s="141">
        <f>N10-26732.4</f>
        <v>-164.29000000000087</v>
      </c>
      <c r="R10" s="142">
        <f>N10/26732.4</f>
        <v>0.9938542742140622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56"/>
      <c r="M11" s="40">
        <f aca="true" t="shared" si="6" ref="M11:M68">E11</f>
        <v>0</v>
      </c>
      <c r="N11" s="40">
        <f aca="true" t="shared" si="7" ref="N11:N68">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56"/>
      <c r="M12" s="40">
        <f t="shared" si="6"/>
        <v>0</v>
      </c>
      <c r="N12" s="40">
        <f t="shared" si="7"/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56"/>
      <c r="M13" s="40">
        <f t="shared" si="6"/>
        <v>0</v>
      </c>
      <c r="N13" s="40">
        <f t="shared" si="7"/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56"/>
      <c r="M14" s="40">
        <f t="shared" si="6"/>
        <v>0</v>
      </c>
      <c r="N14" s="40">
        <f t="shared" si="7"/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56"/>
      <c r="M15" s="40">
        <f t="shared" si="6"/>
        <v>0</v>
      </c>
      <c r="N15" s="40">
        <f t="shared" si="7"/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56"/>
      <c r="M16" s="40">
        <f t="shared" si="6"/>
        <v>0</v>
      </c>
      <c r="N16" s="40">
        <f t="shared" si="7"/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56"/>
      <c r="M17" s="40">
        <f t="shared" si="6"/>
        <v>0</v>
      </c>
      <c r="N17" s="40">
        <f t="shared" si="7"/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56"/>
      <c r="M18" s="40">
        <f t="shared" si="6"/>
        <v>0</v>
      </c>
      <c r="N18" s="40">
        <f t="shared" si="7"/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358.8</v>
      </c>
      <c r="F19" s="40">
        <v>358.81</v>
      </c>
      <c r="G19" s="49">
        <f t="shared" si="0"/>
        <v>0.009999999999990905</v>
      </c>
      <c r="H19" s="40">
        <f aca="true" t="shared" si="8" ref="H19:H29">F19/E19*100</f>
        <v>100.00278706800445</v>
      </c>
      <c r="I19" s="56">
        <f aca="true" t="shared" si="9" ref="I19:I28">F19-D19</f>
        <v>-5641.19</v>
      </c>
      <c r="J19" s="56">
        <f aca="true" t="shared" si="10" ref="J19:J28">F19/D19*100</f>
        <v>5.980166666666667</v>
      </c>
      <c r="K19" s="56">
        <f>F19-194.7</f>
        <v>164.11</v>
      </c>
      <c r="L19" s="56">
        <f>F19/194.7*100</f>
        <v>184.28864920390345</v>
      </c>
      <c r="M19" s="40">
        <f t="shared" si="6"/>
        <v>358.8</v>
      </c>
      <c r="N19" s="40">
        <f t="shared" si="7"/>
        <v>358.81</v>
      </c>
      <c r="O19" s="53">
        <f t="shared" si="3"/>
        <v>0.009999999999990905</v>
      </c>
      <c r="P19" s="56">
        <f aca="true" t="shared" si="11" ref="P19:P29">N19/M19*100</f>
        <v>100.00278706800445</v>
      </c>
      <c r="Q19" s="56">
        <f>N19-194.7</f>
        <v>164.11</v>
      </c>
      <c r="R19" s="135">
        <f>N19/194.7</f>
        <v>1.8428864920390344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8"/>
        <v>#DIV/0!</v>
      </c>
      <c r="I20" s="56">
        <f t="shared" si="9"/>
        <v>0</v>
      </c>
      <c r="J20" s="56" t="e">
        <f t="shared" si="10"/>
        <v>#DIV/0!</v>
      </c>
      <c r="K20" s="56">
        <f aca="true" t="shared" si="12" ref="K20:K28">F20-194.7</f>
        <v>-194.7</v>
      </c>
      <c r="L20" s="56">
        <f aca="true" t="shared" si="13" ref="L20:L28">F20/194.7*100</f>
        <v>0</v>
      </c>
      <c r="M20" s="40">
        <f t="shared" si="6"/>
        <v>0</v>
      </c>
      <c r="N20" s="40">
        <f t="shared" si="7"/>
        <v>0</v>
      </c>
      <c r="O20" s="53">
        <f t="shared" si="3"/>
        <v>0</v>
      </c>
      <c r="P20" s="56" t="e">
        <f t="shared" si="11"/>
        <v>#DIV/0!</v>
      </c>
      <c r="Q20" s="56">
        <f aca="true" t="shared" si="14" ref="Q20:Q28">N20-194.7</f>
        <v>-194.7</v>
      </c>
      <c r="R20" s="135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8"/>
        <v>#DIV/0!</v>
      </c>
      <c r="I21" s="56">
        <f t="shared" si="9"/>
        <v>0</v>
      </c>
      <c r="J21" s="56" t="e">
        <f t="shared" si="10"/>
        <v>#DIV/0!</v>
      </c>
      <c r="K21" s="56">
        <f t="shared" si="12"/>
        <v>-194.7</v>
      </c>
      <c r="L21" s="56">
        <f t="shared" si="13"/>
        <v>0</v>
      </c>
      <c r="M21" s="40">
        <f t="shared" si="6"/>
        <v>0</v>
      </c>
      <c r="N21" s="40">
        <f t="shared" si="7"/>
        <v>0</v>
      </c>
      <c r="O21" s="53">
        <f t="shared" si="3"/>
        <v>0</v>
      </c>
      <c r="P21" s="56" t="e">
        <f t="shared" si="11"/>
        <v>#DIV/0!</v>
      </c>
      <c r="Q21" s="56">
        <f t="shared" si="14"/>
        <v>-194.7</v>
      </c>
      <c r="R21" s="135">
        <f t="shared" si="15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8"/>
        <v>#DIV/0!</v>
      </c>
      <c r="I22" s="56">
        <f t="shared" si="9"/>
        <v>0</v>
      </c>
      <c r="J22" s="56" t="e">
        <f t="shared" si="10"/>
        <v>#DIV/0!</v>
      </c>
      <c r="K22" s="56">
        <f t="shared" si="12"/>
        <v>-194.7</v>
      </c>
      <c r="L22" s="56">
        <f t="shared" si="13"/>
        <v>0</v>
      </c>
      <c r="M22" s="40">
        <f t="shared" si="6"/>
        <v>0</v>
      </c>
      <c r="N22" s="40">
        <f t="shared" si="7"/>
        <v>0</v>
      </c>
      <c r="O22" s="53">
        <f t="shared" si="3"/>
        <v>0</v>
      </c>
      <c r="P22" s="56" t="e">
        <f t="shared" si="11"/>
        <v>#DIV/0!</v>
      </c>
      <c r="Q22" s="56">
        <f t="shared" si="14"/>
        <v>-194.7</v>
      </c>
      <c r="R22" s="135">
        <f t="shared" si="15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8"/>
        <v>#DIV/0!</v>
      </c>
      <c r="I23" s="56">
        <f t="shared" si="9"/>
        <v>0</v>
      </c>
      <c r="J23" s="56" t="e">
        <f t="shared" si="10"/>
        <v>#DIV/0!</v>
      </c>
      <c r="K23" s="56">
        <f t="shared" si="12"/>
        <v>-194.7</v>
      </c>
      <c r="L23" s="56">
        <f t="shared" si="13"/>
        <v>0</v>
      </c>
      <c r="M23" s="40">
        <f t="shared" si="6"/>
        <v>0</v>
      </c>
      <c r="N23" s="40">
        <f t="shared" si="7"/>
        <v>0</v>
      </c>
      <c r="O23" s="53">
        <f t="shared" si="3"/>
        <v>0</v>
      </c>
      <c r="P23" s="56" t="e">
        <f t="shared" si="11"/>
        <v>#DIV/0!</v>
      </c>
      <c r="Q23" s="56">
        <f t="shared" si="14"/>
        <v>-194.7</v>
      </c>
      <c r="R23" s="135">
        <f t="shared" si="15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8"/>
        <v>#DIV/0!</v>
      </c>
      <c r="I24" s="56">
        <f t="shared" si="9"/>
        <v>0</v>
      </c>
      <c r="J24" s="56" t="e">
        <f t="shared" si="10"/>
        <v>#DIV/0!</v>
      </c>
      <c r="K24" s="56">
        <f t="shared" si="12"/>
        <v>-194.7</v>
      </c>
      <c r="L24" s="56">
        <f t="shared" si="13"/>
        <v>0</v>
      </c>
      <c r="M24" s="40">
        <f t="shared" si="6"/>
        <v>0</v>
      </c>
      <c r="N24" s="40">
        <f t="shared" si="7"/>
        <v>0</v>
      </c>
      <c r="O24" s="53">
        <f t="shared" si="3"/>
        <v>0</v>
      </c>
      <c r="P24" s="56" t="e">
        <f t="shared" si="11"/>
        <v>#DIV/0!</v>
      </c>
      <c r="Q24" s="56">
        <f t="shared" si="14"/>
        <v>-194.7</v>
      </c>
      <c r="R24" s="135">
        <f t="shared" si="15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8"/>
        <v>#DIV/0!</v>
      </c>
      <c r="I25" s="56">
        <f t="shared" si="9"/>
        <v>0</v>
      </c>
      <c r="J25" s="56" t="e">
        <f t="shared" si="10"/>
        <v>#DIV/0!</v>
      </c>
      <c r="K25" s="56">
        <f t="shared" si="12"/>
        <v>-194.7</v>
      </c>
      <c r="L25" s="56">
        <f t="shared" si="13"/>
        <v>0</v>
      </c>
      <c r="M25" s="40">
        <f t="shared" si="6"/>
        <v>0</v>
      </c>
      <c r="N25" s="40">
        <f t="shared" si="7"/>
        <v>0</v>
      </c>
      <c r="O25" s="53">
        <f t="shared" si="3"/>
        <v>0</v>
      </c>
      <c r="P25" s="56" t="e">
        <f t="shared" si="11"/>
        <v>#DIV/0!</v>
      </c>
      <c r="Q25" s="56">
        <f t="shared" si="14"/>
        <v>-194.7</v>
      </c>
      <c r="R25" s="135">
        <f t="shared" si="15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8"/>
        <v>#DIV/0!</v>
      </c>
      <c r="I26" s="56">
        <f t="shared" si="9"/>
        <v>0</v>
      </c>
      <c r="J26" s="56" t="e">
        <f t="shared" si="10"/>
        <v>#DIV/0!</v>
      </c>
      <c r="K26" s="56">
        <f t="shared" si="12"/>
        <v>-194.7</v>
      </c>
      <c r="L26" s="56">
        <f t="shared" si="13"/>
        <v>0</v>
      </c>
      <c r="M26" s="40">
        <f t="shared" si="6"/>
        <v>0</v>
      </c>
      <c r="N26" s="40">
        <f t="shared" si="7"/>
        <v>0</v>
      </c>
      <c r="O26" s="53">
        <f t="shared" si="3"/>
        <v>0</v>
      </c>
      <c r="P26" s="56" t="e">
        <f t="shared" si="11"/>
        <v>#DIV/0!</v>
      </c>
      <c r="Q26" s="56">
        <f t="shared" si="14"/>
        <v>-194.7</v>
      </c>
      <c r="R26" s="135">
        <f t="shared" si="15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8"/>
        <v>#DIV/0!</v>
      </c>
      <c r="I27" s="56">
        <f t="shared" si="9"/>
        <v>0</v>
      </c>
      <c r="J27" s="56" t="e">
        <f t="shared" si="10"/>
        <v>#DIV/0!</v>
      </c>
      <c r="K27" s="56">
        <f t="shared" si="12"/>
        <v>-194.7</v>
      </c>
      <c r="L27" s="56">
        <f t="shared" si="13"/>
        <v>0</v>
      </c>
      <c r="M27" s="40">
        <f t="shared" si="6"/>
        <v>0</v>
      </c>
      <c r="N27" s="40">
        <f t="shared" si="7"/>
        <v>0</v>
      </c>
      <c r="O27" s="53">
        <f t="shared" si="3"/>
        <v>0</v>
      </c>
      <c r="P27" s="56" t="e">
        <f t="shared" si="11"/>
        <v>#DIV/0!</v>
      </c>
      <c r="Q27" s="56">
        <f t="shared" si="14"/>
        <v>-194.7</v>
      </c>
      <c r="R27" s="135">
        <f t="shared" si="15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8"/>
        <v>#DIV/0!</v>
      </c>
      <c r="I28" s="56">
        <f t="shared" si="9"/>
        <v>0</v>
      </c>
      <c r="J28" s="56" t="e">
        <f t="shared" si="10"/>
        <v>#DIV/0!</v>
      </c>
      <c r="K28" s="56">
        <f t="shared" si="12"/>
        <v>-194.7</v>
      </c>
      <c r="L28" s="56">
        <f t="shared" si="13"/>
        <v>0</v>
      </c>
      <c r="M28" s="40">
        <f t="shared" si="6"/>
        <v>0</v>
      </c>
      <c r="N28" s="40">
        <f t="shared" si="7"/>
        <v>0</v>
      </c>
      <c r="O28" s="53">
        <f t="shared" si="3"/>
        <v>0</v>
      </c>
      <c r="P28" s="56" t="e">
        <f t="shared" si="11"/>
        <v>#DIV/0!</v>
      </c>
      <c r="Q28" s="56">
        <f t="shared" si="14"/>
        <v>-194.7</v>
      </c>
      <c r="R28" s="135">
        <f t="shared" si="15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144">
        <v>358.8</v>
      </c>
      <c r="F29" s="146">
        <v>358.79</v>
      </c>
      <c r="G29" s="49">
        <f t="shared" si="0"/>
        <v>-0.009999999999990905</v>
      </c>
      <c r="H29" s="40">
        <f t="shared" si="8"/>
        <v>99.99721293199553</v>
      </c>
      <c r="I29" s="56"/>
      <c r="J29" s="56"/>
      <c r="K29" s="145">
        <f>F29-160.03</f>
        <v>198.76000000000002</v>
      </c>
      <c r="L29" s="145">
        <f>F29/160.03*100</f>
        <v>224.20171217896646</v>
      </c>
      <c r="M29" s="40">
        <f t="shared" si="6"/>
        <v>358.8</v>
      </c>
      <c r="N29" s="40">
        <f t="shared" si="7"/>
        <v>358.79</v>
      </c>
      <c r="O29" s="53">
        <f t="shared" si="3"/>
        <v>-0.009999999999990905</v>
      </c>
      <c r="P29" s="56">
        <f t="shared" si="11"/>
        <v>99.99721293199553</v>
      </c>
      <c r="Q29" s="145">
        <f>N29-160</f>
        <v>198.79000000000002</v>
      </c>
      <c r="R29" s="156">
        <f>N29/160</f>
        <v>2.2424375000000003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0</v>
      </c>
      <c r="F30" s="40">
        <v>0</v>
      </c>
      <c r="G30" s="49">
        <f t="shared" si="0"/>
        <v>0</v>
      </c>
      <c r="H30" s="40"/>
      <c r="I30" s="56"/>
      <c r="J30" s="56"/>
      <c r="K30" s="56">
        <f>F30-0</f>
        <v>0</v>
      </c>
      <c r="L30" s="56"/>
      <c r="M30" s="40">
        <f t="shared" si="6"/>
        <v>0</v>
      </c>
      <c r="N30" s="40">
        <f t="shared" si="7"/>
        <v>0</v>
      </c>
      <c r="O30" s="53">
        <f t="shared" si="3"/>
        <v>0</v>
      </c>
      <c r="P30" s="56"/>
      <c r="Q30" s="56"/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56">
        <f>F31</f>
        <v>0</v>
      </c>
      <c r="M31" s="40">
        <f t="shared" si="6"/>
        <v>0</v>
      </c>
      <c r="N31" s="40">
        <f t="shared" si="7"/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56">
        <f>F32</f>
        <v>0</v>
      </c>
      <c r="M32" s="40">
        <f t="shared" si="6"/>
        <v>0</v>
      </c>
      <c r="N32" s="40">
        <f t="shared" si="7"/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6293.2</v>
      </c>
      <c r="F33" s="40">
        <v>6293.29</v>
      </c>
      <c r="G33" s="49">
        <f aca="true" t="shared" si="16" ref="G33:G55">F33-E33</f>
        <v>0.09000000000014552</v>
      </c>
      <c r="H33" s="40">
        <f aca="true" t="shared" si="17" ref="H33:H55">F33/E33*100</f>
        <v>100.00143011504481</v>
      </c>
      <c r="I33" s="56">
        <f>F33-D33</f>
        <v>-81772.71</v>
      </c>
      <c r="J33" s="56">
        <f aca="true" t="shared" si="18" ref="J33:J55">F33/D33*100</f>
        <v>7.146106329343901</v>
      </c>
      <c r="K33" s="141">
        <f>F33-6172.8</f>
        <v>120.48999999999978</v>
      </c>
      <c r="L33" s="141">
        <f>F33/6172.8*100</f>
        <v>101.95195049248315</v>
      </c>
      <c r="M33" s="40">
        <f t="shared" si="6"/>
        <v>6293.2</v>
      </c>
      <c r="N33" s="40">
        <f t="shared" si="7"/>
        <v>6293.29</v>
      </c>
      <c r="O33" s="53">
        <f t="shared" si="3"/>
        <v>0.09000000000014552</v>
      </c>
      <c r="P33" s="56">
        <f aca="true" t="shared" si="19" ref="P33:P55">N33/M33*100</f>
        <v>100.00143011504481</v>
      </c>
      <c r="Q33" s="141">
        <f>N33-6172.8</f>
        <v>120.48999999999978</v>
      </c>
      <c r="R33" s="142">
        <f>N33/6172.8</f>
        <v>1.0195195049248316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6"/>
        <v>0</v>
      </c>
      <c r="H34" s="40" t="e">
        <f t="shared" si="17"/>
        <v>#DIV/0!</v>
      </c>
      <c r="I34" s="56">
        <f aca="true" t="shared" si="20" ref="I34:I55">F34-D34</f>
        <v>0</v>
      </c>
      <c r="J34" s="56" t="e">
        <f t="shared" si="18"/>
        <v>#DIV/0!</v>
      </c>
      <c r="K34" s="56">
        <f aca="true" t="shared" si="21" ref="K34:K54">F34-6172.8</f>
        <v>-6172.8</v>
      </c>
      <c r="L34" s="56">
        <f aca="true" t="shared" si="22" ref="L34:L54">F34/6172.8*100</f>
        <v>0</v>
      </c>
      <c r="M34" s="40">
        <f t="shared" si="6"/>
        <v>0</v>
      </c>
      <c r="N34" s="40">
        <f t="shared" si="7"/>
        <v>0</v>
      </c>
      <c r="O34" s="53">
        <f t="shared" si="3"/>
        <v>0</v>
      </c>
      <c r="P34" s="56" t="e">
        <f t="shared" si="19"/>
        <v>#DIV/0!</v>
      </c>
      <c r="Q34" s="141">
        <f aca="true" t="shared" si="23" ref="Q34:Q54">N34-6172.8</f>
        <v>-6172.8</v>
      </c>
      <c r="R34" s="142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6"/>
        <v>0</v>
      </c>
      <c r="H35" s="40" t="e">
        <f t="shared" si="17"/>
        <v>#DIV/0!</v>
      </c>
      <c r="I35" s="56">
        <f t="shared" si="20"/>
        <v>0</v>
      </c>
      <c r="J35" s="56" t="e">
        <f t="shared" si="18"/>
        <v>#DIV/0!</v>
      </c>
      <c r="K35" s="56">
        <f t="shared" si="21"/>
        <v>-6172.8</v>
      </c>
      <c r="L35" s="56">
        <f t="shared" si="22"/>
        <v>0</v>
      </c>
      <c r="M35" s="40">
        <f t="shared" si="6"/>
        <v>0</v>
      </c>
      <c r="N35" s="40">
        <f t="shared" si="7"/>
        <v>0</v>
      </c>
      <c r="O35" s="53">
        <f t="shared" si="3"/>
        <v>0</v>
      </c>
      <c r="P35" s="56" t="e">
        <f t="shared" si="19"/>
        <v>#DIV/0!</v>
      </c>
      <c r="Q35" s="141">
        <f t="shared" si="23"/>
        <v>-6172.8</v>
      </c>
      <c r="R35" s="142">
        <f t="shared" si="24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6"/>
        <v>0</v>
      </c>
      <c r="H36" s="40" t="e">
        <f t="shared" si="17"/>
        <v>#DIV/0!</v>
      </c>
      <c r="I36" s="56">
        <f t="shared" si="20"/>
        <v>0</v>
      </c>
      <c r="J36" s="56" t="e">
        <f t="shared" si="18"/>
        <v>#DIV/0!</v>
      </c>
      <c r="K36" s="56">
        <f t="shared" si="21"/>
        <v>-6172.8</v>
      </c>
      <c r="L36" s="56">
        <f t="shared" si="22"/>
        <v>0</v>
      </c>
      <c r="M36" s="40">
        <f t="shared" si="6"/>
        <v>0</v>
      </c>
      <c r="N36" s="40">
        <f t="shared" si="7"/>
        <v>0</v>
      </c>
      <c r="O36" s="53">
        <f t="shared" si="3"/>
        <v>0</v>
      </c>
      <c r="P36" s="56" t="e">
        <f t="shared" si="19"/>
        <v>#DIV/0!</v>
      </c>
      <c r="Q36" s="141">
        <f t="shared" si="23"/>
        <v>-6172.8</v>
      </c>
      <c r="R36" s="142">
        <f t="shared" si="24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6"/>
        <v>0</v>
      </c>
      <c r="H37" s="40" t="e">
        <f t="shared" si="17"/>
        <v>#DIV/0!</v>
      </c>
      <c r="I37" s="56">
        <f t="shared" si="20"/>
        <v>0</v>
      </c>
      <c r="J37" s="56" t="e">
        <f t="shared" si="18"/>
        <v>#DIV/0!</v>
      </c>
      <c r="K37" s="56">
        <f t="shared" si="21"/>
        <v>-6172.8</v>
      </c>
      <c r="L37" s="56">
        <f t="shared" si="22"/>
        <v>0</v>
      </c>
      <c r="M37" s="40">
        <f t="shared" si="6"/>
        <v>0</v>
      </c>
      <c r="N37" s="40">
        <f t="shared" si="7"/>
        <v>0</v>
      </c>
      <c r="O37" s="53">
        <f t="shared" si="3"/>
        <v>0</v>
      </c>
      <c r="P37" s="56" t="e">
        <f t="shared" si="19"/>
        <v>#DIV/0!</v>
      </c>
      <c r="Q37" s="141">
        <f t="shared" si="23"/>
        <v>-6172.8</v>
      </c>
      <c r="R37" s="142">
        <f t="shared" si="24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6"/>
        <v>0</v>
      </c>
      <c r="H38" s="40" t="e">
        <f t="shared" si="17"/>
        <v>#DIV/0!</v>
      </c>
      <c r="I38" s="56">
        <f t="shared" si="20"/>
        <v>0</v>
      </c>
      <c r="J38" s="56" t="e">
        <f t="shared" si="18"/>
        <v>#DIV/0!</v>
      </c>
      <c r="K38" s="56">
        <f t="shared" si="21"/>
        <v>-6172.8</v>
      </c>
      <c r="L38" s="56">
        <f t="shared" si="22"/>
        <v>0</v>
      </c>
      <c r="M38" s="40">
        <f t="shared" si="6"/>
        <v>0</v>
      </c>
      <c r="N38" s="40">
        <f t="shared" si="7"/>
        <v>0</v>
      </c>
      <c r="O38" s="53">
        <f t="shared" si="3"/>
        <v>0</v>
      </c>
      <c r="P38" s="56" t="e">
        <f t="shared" si="19"/>
        <v>#DIV/0!</v>
      </c>
      <c r="Q38" s="141">
        <f t="shared" si="23"/>
        <v>-6172.8</v>
      </c>
      <c r="R38" s="142">
        <f t="shared" si="24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6"/>
        <v>0</v>
      </c>
      <c r="H39" s="40" t="e">
        <f t="shared" si="17"/>
        <v>#DIV/0!</v>
      </c>
      <c r="I39" s="56">
        <f t="shared" si="20"/>
        <v>0</v>
      </c>
      <c r="J39" s="56" t="e">
        <f t="shared" si="18"/>
        <v>#DIV/0!</v>
      </c>
      <c r="K39" s="56">
        <f t="shared" si="21"/>
        <v>-6172.8</v>
      </c>
      <c r="L39" s="56">
        <f t="shared" si="22"/>
        <v>0</v>
      </c>
      <c r="M39" s="40">
        <f t="shared" si="6"/>
        <v>0</v>
      </c>
      <c r="N39" s="40">
        <f t="shared" si="7"/>
        <v>0</v>
      </c>
      <c r="O39" s="53">
        <f t="shared" si="3"/>
        <v>0</v>
      </c>
      <c r="P39" s="56" t="e">
        <f t="shared" si="19"/>
        <v>#DIV/0!</v>
      </c>
      <c r="Q39" s="141">
        <f t="shared" si="23"/>
        <v>-6172.8</v>
      </c>
      <c r="R39" s="142">
        <f t="shared" si="24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6"/>
        <v>0</v>
      </c>
      <c r="H40" s="40" t="e">
        <f t="shared" si="17"/>
        <v>#DIV/0!</v>
      </c>
      <c r="I40" s="56">
        <f t="shared" si="20"/>
        <v>0</v>
      </c>
      <c r="J40" s="56" t="e">
        <f t="shared" si="18"/>
        <v>#DIV/0!</v>
      </c>
      <c r="K40" s="56">
        <f t="shared" si="21"/>
        <v>-6172.8</v>
      </c>
      <c r="L40" s="56">
        <f t="shared" si="22"/>
        <v>0</v>
      </c>
      <c r="M40" s="40">
        <f t="shared" si="6"/>
        <v>0</v>
      </c>
      <c r="N40" s="40">
        <f t="shared" si="7"/>
        <v>0</v>
      </c>
      <c r="O40" s="53">
        <f t="shared" si="3"/>
        <v>0</v>
      </c>
      <c r="P40" s="56" t="e">
        <f t="shared" si="19"/>
        <v>#DIV/0!</v>
      </c>
      <c r="Q40" s="141">
        <f t="shared" si="23"/>
        <v>-6172.8</v>
      </c>
      <c r="R40" s="142">
        <f t="shared" si="24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6"/>
        <v>0</v>
      </c>
      <c r="H41" s="40" t="e">
        <f t="shared" si="17"/>
        <v>#DIV/0!</v>
      </c>
      <c r="I41" s="56">
        <f t="shared" si="20"/>
        <v>0</v>
      </c>
      <c r="J41" s="56" t="e">
        <f t="shared" si="18"/>
        <v>#DIV/0!</v>
      </c>
      <c r="K41" s="56">
        <f t="shared" si="21"/>
        <v>-6172.8</v>
      </c>
      <c r="L41" s="56">
        <f t="shared" si="22"/>
        <v>0</v>
      </c>
      <c r="M41" s="40">
        <f t="shared" si="6"/>
        <v>0</v>
      </c>
      <c r="N41" s="40">
        <f t="shared" si="7"/>
        <v>0</v>
      </c>
      <c r="O41" s="53">
        <f t="shared" si="3"/>
        <v>0</v>
      </c>
      <c r="P41" s="56" t="e">
        <f t="shared" si="19"/>
        <v>#DIV/0!</v>
      </c>
      <c r="Q41" s="141">
        <f t="shared" si="23"/>
        <v>-6172.8</v>
      </c>
      <c r="R41" s="142">
        <f t="shared" si="24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6"/>
        <v>0</v>
      </c>
      <c r="H42" s="40" t="e">
        <f t="shared" si="17"/>
        <v>#DIV/0!</v>
      </c>
      <c r="I42" s="56">
        <f t="shared" si="20"/>
        <v>0</v>
      </c>
      <c r="J42" s="56" t="e">
        <f t="shared" si="18"/>
        <v>#DIV/0!</v>
      </c>
      <c r="K42" s="56">
        <f t="shared" si="21"/>
        <v>-6172.8</v>
      </c>
      <c r="L42" s="56">
        <f t="shared" si="22"/>
        <v>0</v>
      </c>
      <c r="M42" s="40">
        <f t="shared" si="6"/>
        <v>0</v>
      </c>
      <c r="N42" s="40">
        <f t="shared" si="7"/>
        <v>0</v>
      </c>
      <c r="O42" s="53">
        <f t="shared" si="3"/>
        <v>0</v>
      </c>
      <c r="P42" s="56" t="e">
        <f t="shared" si="19"/>
        <v>#DIV/0!</v>
      </c>
      <c r="Q42" s="141">
        <f t="shared" si="23"/>
        <v>-6172.8</v>
      </c>
      <c r="R42" s="142">
        <f t="shared" si="24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6"/>
        <v>0</v>
      </c>
      <c r="H43" s="40" t="e">
        <f t="shared" si="17"/>
        <v>#DIV/0!</v>
      </c>
      <c r="I43" s="56">
        <f t="shared" si="20"/>
        <v>0</v>
      </c>
      <c r="J43" s="56" t="e">
        <f t="shared" si="18"/>
        <v>#DIV/0!</v>
      </c>
      <c r="K43" s="56">
        <f t="shared" si="21"/>
        <v>-6172.8</v>
      </c>
      <c r="L43" s="56">
        <f t="shared" si="22"/>
        <v>0</v>
      </c>
      <c r="M43" s="40">
        <f t="shared" si="6"/>
        <v>0</v>
      </c>
      <c r="N43" s="40">
        <f t="shared" si="7"/>
        <v>0</v>
      </c>
      <c r="O43" s="53">
        <f t="shared" si="3"/>
        <v>0</v>
      </c>
      <c r="P43" s="56" t="e">
        <f t="shared" si="19"/>
        <v>#DIV/0!</v>
      </c>
      <c r="Q43" s="141">
        <f t="shared" si="23"/>
        <v>-6172.8</v>
      </c>
      <c r="R43" s="142">
        <f t="shared" si="24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6"/>
        <v>0</v>
      </c>
      <c r="H44" s="40" t="e">
        <f t="shared" si="17"/>
        <v>#DIV/0!</v>
      </c>
      <c r="I44" s="56">
        <f t="shared" si="20"/>
        <v>0</v>
      </c>
      <c r="J44" s="56" t="e">
        <f t="shared" si="18"/>
        <v>#DIV/0!</v>
      </c>
      <c r="K44" s="56">
        <f t="shared" si="21"/>
        <v>-6172.8</v>
      </c>
      <c r="L44" s="56">
        <f t="shared" si="22"/>
        <v>0</v>
      </c>
      <c r="M44" s="40">
        <f t="shared" si="6"/>
        <v>0</v>
      </c>
      <c r="N44" s="40">
        <f t="shared" si="7"/>
        <v>0</v>
      </c>
      <c r="O44" s="53">
        <f t="shared" si="3"/>
        <v>0</v>
      </c>
      <c r="P44" s="56" t="e">
        <f t="shared" si="19"/>
        <v>#DIV/0!</v>
      </c>
      <c r="Q44" s="141">
        <f t="shared" si="23"/>
        <v>-6172.8</v>
      </c>
      <c r="R44" s="142">
        <f t="shared" si="24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6"/>
        <v>0</v>
      </c>
      <c r="H45" s="40" t="e">
        <f t="shared" si="17"/>
        <v>#DIV/0!</v>
      </c>
      <c r="I45" s="56">
        <f t="shared" si="20"/>
        <v>0</v>
      </c>
      <c r="J45" s="56" t="e">
        <f t="shared" si="18"/>
        <v>#DIV/0!</v>
      </c>
      <c r="K45" s="56">
        <f t="shared" si="21"/>
        <v>-6172.8</v>
      </c>
      <c r="L45" s="56">
        <f t="shared" si="22"/>
        <v>0</v>
      </c>
      <c r="M45" s="40">
        <f t="shared" si="6"/>
        <v>0</v>
      </c>
      <c r="N45" s="40">
        <f t="shared" si="7"/>
        <v>0</v>
      </c>
      <c r="O45" s="53">
        <f t="shared" si="3"/>
        <v>0</v>
      </c>
      <c r="P45" s="56" t="e">
        <f t="shared" si="19"/>
        <v>#DIV/0!</v>
      </c>
      <c r="Q45" s="141">
        <f t="shared" si="23"/>
        <v>-6172.8</v>
      </c>
      <c r="R45" s="142">
        <f t="shared" si="24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6"/>
        <v>0</v>
      </c>
      <c r="H46" s="40" t="e">
        <f t="shared" si="17"/>
        <v>#DIV/0!</v>
      </c>
      <c r="I46" s="56">
        <f t="shared" si="20"/>
        <v>0</v>
      </c>
      <c r="J46" s="56" t="e">
        <f t="shared" si="18"/>
        <v>#DIV/0!</v>
      </c>
      <c r="K46" s="56">
        <f t="shared" si="21"/>
        <v>-6172.8</v>
      </c>
      <c r="L46" s="56">
        <f t="shared" si="22"/>
        <v>0</v>
      </c>
      <c r="M46" s="40">
        <f t="shared" si="6"/>
        <v>0</v>
      </c>
      <c r="N46" s="40">
        <f t="shared" si="7"/>
        <v>0</v>
      </c>
      <c r="O46" s="53">
        <f t="shared" si="3"/>
        <v>0</v>
      </c>
      <c r="P46" s="56" t="e">
        <f t="shared" si="19"/>
        <v>#DIV/0!</v>
      </c>
      <c r="Q46" s="141">
        <f t="shared" si="23"/>
        <v>-6172.8</v>
      </c>
      <c r="R46" s="142">
        <f t="shared" si="24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6"/>
        <v>0</v>
      </c>
      <c r="H47" s="40" t="e">
        <f t="shared" si="17"/>
        <v>#DIV/0!</v>
      </c>
      <c r="I47" s="56">
        <f t="shared" si="20"/>
        <v>0</v>
      </c>
      <c r="J47" s="56" t="e">
        <f t="shared" si="18"/>
        <v>#DIV/0!</v>
      </c>
      <c r="K47" s="56">
        <f t="shared" si="21"/>
        <v>-6172.8</v>
      </c>
      <c r="L47" s="56">
        <f t="shared" si="22"/>
        <v>0</v>
      </c>
      <c r="M47" s="40">
        <f t="shared" si="6"/>
        <v>0</v>
      </c>
      <c r="N47" s="40">
        <f t="shared" si="7"/>
        <v>0</v>
      </c>
      <c r="O47" s="53">
        <f t="shared" si="3"/>
        <v>0</v>
      </c>
      <c r="P47" s="56" t="e">
        <f t="shared" si="19"/>
        <v>#DIV/0!</v>
      </c>
      <c r="Q47" s="141">
        <f t="shared" si="23"/>
        <v>-6172.8</v>
      </c>
      <c r="R47" s="142">
        <f t="shared" si="24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6"/>
        <v>0</v>
      </c>
      <c r="H48" s="40" t="e">
        <f t="shared" si="17"/>
        <v>#DIV/0!</v>
      </c>
      <c r="I48" s="56">
        <f t="shared" si="20"/>
        <v>0</v>
      </c>
      <c r="J48" s="56" t="e">
        <f t="shared" si="18"/>
        <v>#DIV/0!</v>
      </c>
      <c r="K48" s="56">
        <f t="shared" si="21"/>
        <v>-6172.8</v>
      </c>
      <c r="L48" s="56">
        <f t="shared" si="22"/>
        <v>0</v>
      </c>
      <c r="M48" s="40">
        <f t="shared" si="6"/>
        <v>0</v>
      </c>
      <c r="N48" s="40">
        <f t="shared" si="7"/>
        <v>0</v>
      </c>
      <c r="O48" s="53">
        <f t="shared" si="3"/>
        <v>0</v>
      </c>
      <c r="P48" s="56" t="e">
        <f t="shared" si="19"/>
        <v>#DIV/0!</v>
      </c>
      <c r="Q48" s="141">
        <f t="shared" si="23"/>
        <v>-6172.8</v>
      </c>
      <c r="R48" s="142">
        <f t="shared" si="24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6"/>
        <v>0</v>
      </c>
      <c r="H49" s="40" t="e">
        <f t="shared" si="17"/>
        <v>#DIV/0!</v>
      </c>
      <c r="I49" s="56">
        <f t="shared" si="20"/>
        <v>0</v>
      </c>
      <c r="J49" s="56" t="e">
        <f t="shared" si="18"/>
        <v>#DIV/0!</v>
      </c>
      <c r="K49" s="56">
        <f t="shared" si="21"/>
        <v>-6172.8</v>
      </c>
      <c r="L49" s="56">
        <f t="shared" si="22"/>
        <v>0</v>
      </c>
      <c r="M49" s="40">
        <f t="shared" si="6"/>
        <v>0</v>
      </c>
      <c r="N49" s="40">
        <f t="shared" si="7"/>
        <v>0</v>
      </c>
      <c r="O49" s="53">
        <f t="shared" si="3"/>
        <v>0</v>
      </c>
      <c r="P49" s="56" t="e">
        <f t="shared" si="19"/>
        <v>#DIV/0!</v>
      </c>
      <c r="Q49" s="141">
        <f t="shared" si="23"/>
        <v>-6172.8</v>
      </c>
      <c r="R49" s="142">
        <f t="shared" si="24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6"/>
        <v>0</v>
      </c>
      <c r="H50" s="40" t="e">
        <f t="shared" si="17"/>
        <v>#DIV/0!</v>
      </c>
      <c r="I50" s="56">
        <f t="shared" si="20"/>
        <v>0</v>
      </c>
      <c r="J50" s="56" t="e">
        <f t="shared" si="18"/>
        <v>#DIV/0!</v>
      </c>
      <c r="K50" s="56">
        <f t="shared" si="21"/>
        <v>-6172.8</v>
      </c>
      <c r="L50" s="56">
        <f t="shared" si="22"/>
        <v>0</v>
      </c>
      <c r="M50" s="40">
        <f t="shared" si="6"/>
        <v>0</v>
      </c>
      <c r="N50" s="40">
        <f t="shared" si="7"/>
        <v>0</v>
      </c>
      <c r="O50" s="53">
        <f t="shared" si="3"/>
        <v>0</v>
      </c>
      <c r="P50" s="56" t="e">
        <f t="shared" si="19"/>
        <v>#DIV/0!</v>
      </c>
      <c r="Q50" s="141">
        <f t="shared" si="23"/>
        <v>-6172.8</v>
      </c>
      <c r="R50" s="142">
        <f t="shared" si="24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6"/>
        <v>0</v>
      </c>
      <c r="H51" s="40" t="e">
        <f t="shared" si="17"/>
        <v>#DIV/0!</v>
      </c>
      <c r="I51" s="56">
        <f t="shared" si="20"/>
        <v>0</v>
      </c>
      <c r="J51" s="56" t="e">
        <f t="shared" si="18"/>
        <v>#DIV/0!</v>
      </c>
      <c r="K51" s="56">
        <f t="shared" si="21"/>
        <v>-6172.8</v>
      </c>
      <c r="L51" s="56">
        <f t="shared" si="22"/>
        <v>0</v>
      </c>
      <c r="M51" s="40">
        <f t="shared" si="6"/>
        <v>0</v>
      </c>
      <c r="N51" s="40">
        <f t="shared" si="7"/>
        <v>0</v>
      </c>
      <c r="O51" s="53">
        <f t="shared" si="3"/>
        <v>0</v>
      </c>
      <c r="P51" s="56" t="e">
        <f t="shared" si="19"/>
        <v>#DIV/0!</v>
      </c>
      <c r="Q51" s="141">
        <f t="shared" si="23"/>
        <v>-6172.8</v>
      </c>
      <c r="R51" s="142">
        <f t="shared" si="24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6"/>
        <v>0</v>
      </c>
      <c r="H52" s="40" t="e">
        <f t="shared" si="17"/>
        <v>#DIV/0!</v>
      </c>
      <c r="I52" s="56">
        <f t="shared" si="20"/>
        <v>0</v>
      </c>
      <c r="J52" s="56" t="e">
        <f t="shared" si="18"/>
        <v>#DIV/0!</v>
      </c>
      <c r="K52" s="56">
        <f t="shared" si="21"/>
        <v>-6172.8</v>
      </c>
      <c r="L52" s="56">
        <f t="shared" si="22"/>
        <v>0</v>
      </c>
      <c r="M52" s="40">
        <f t="shared" si="6"/>
        <v>0</v>
      </c>
      <c r="N52" s="40">
        <f t="shared" si="7"/>
        <v>0</v>
      </c>
      <c r="O52" s="53">
        <f t="shared" si="3"/>
        <v>0</v>
      </c>
      <c r="P52" s="56" t="e">
        <f t="shared" si="19"/>
        <v>#DIV/0!</v>
      </c>
      <c r="Q52" s="141">
        <f t="shared" si="23"/>
        <v>-6172.8</v>
      </c>
      <c r="R52" s="142">
        <f t="shared" si="24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6"/>
        <v>0</v>
      </c>
      <c r="H53" s="40" t="e">
        <f t="shared" si="17"/>
        <v>#DIV/0!</v>
      </c>
      <c r="I53" s="56">
        <f t="shared" si="20"/>
        <v>0</v>
      </c>
      <c r="J53" s="56" t="e">
        <f t="shared" si="18"/>
        <v>#DIV/0!</v>
      </c>
      <c r="K53" s="56">
        <f t="shared" si="21"/>
        <v>-6172.8</v>
      </c>
      <c r="L53" s="56">
        <f t="shared" si="22"/>
        <v>0</v>
      </c>
      <c r="M53" s="40">
        <f t="shared" si="6"/>
        <v>0</v>
      </c>
      <c r="N53" s="40">
        <f t="shared" si="7"/>
        <v>0</v>
      </c>
      <c r="O53" s="53">
        <f t="shared" si="3"/>
        <v>0</v>
      </c>
      <c r="P53" s="56" t="e">
        <f t="shared" si="19"/>
        <v>#DIV/0!</v>
      </c>
      <c r="Q53" s="141">
        <f t="shared" si="23"/>
        <v>-6172.8</v>
      </c>
      <c r="R53" s="142">
        <f t="shared" si="24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6"/>
        <v>0</v>
      </c>
      <c r="H54" s="40" t="e">
        <f t="shared" si="17"/>
        <v>#DIV/0!</v>
      </c>
      <c r="I54" s="56">
        <f t="shared" si="20"/>
        <v>0</v>
      </c>
      <c r="J54" s="56" t="e">
        <f t="shared" si="18"/>
        <v>#DIV/0!</v>
      </c>
      <c r="K54" s="56">
        <f t="shared" si="21"/>
        <v>-6172.8</v>
      </c>
      <c r="L54" s="56">
        <f t="shared" si="22"/>
        <v>0</v>
      </c>
      <c r="M54" s="40">
        <f t="shared" si="6"/>
        <v>0</v>
      </c>
      <c r="N54" s="40">
        <f t="shared" si="7"/>
        <v>0</v>
      </c>
      <c r="O54" s="53">
        <f t="shared" si="3"/>
        <v>0</v>
      </c>
      <c r="P54" s="56" t="e">
        <f t="shared" si="19"/>
        <v>#DIV/0!</v>
      </c>
      <c r="Q54" s="141">
        <f t="shared" si="23"/>
        <v>-6172.8</v>
      </c>
      <c r="R54" s="142">
        <f t="shared" si="24"/>
        <v>0</v>
      </c>
    </row>
    <row r="55" spans="1:18" s="6" customFormat="1" ht="15.75">
      <c r="A55" s="8"/>
      <c r="B55" s="76" t="s">
        <v>182</v>
      </c>
      <c r="C55" s="65"/>
      <c r="D55" s="144">
        <v>66266</v>
      </c>
      <c r="E55" s="144">
        <v>4687.9</v>
      </c>
      <c r="F55" s="146">
        <v>4687.91</v>
      </c>
      <c r="G55" s="144">
        <f t="shared" si="16"/>
        <v>0.010000000000218279</v>
      </c>
      <c r="H55" s="146">
        <f t="shared" si="17"/>
        <v>100.00021331513045</v>
      </c>
      <c r="I55" s="145">
        <f t="shared" si="20"/>
        <v>-61578.09</v>
      </c>
      <c r="J55" s="145">
        <f t="shared" si="18"/>
        <v>7.074382036036579</v>
      </c>
      <c r="K55" s="145">
        <f>F55-4574.19</f>
        <v>113.72000000000025</v>
      </c>
      <c r="L55" s="145">
        <f>F55/4574.19*100</f>
        <v>102.48612322618868</v>
      </c>
      <c r="M55" s="146">
        <f t="shared" si="6"/>
        <v>4687.9</v>
      </c>
      <c r="N55" s="146">
        <f t="shared" si="7"/>
        <v>4687.91</v>
      </c>
      <c r="O55" s="148">
        <f t="shared" si="3"/>
        <v>0.010000000000218279</v>
      </c>
      <c r="P55" s="145">
        <f t="shared" si="19"/>
        <v>100.00021331513045</v>
      </c>
      <c r="Q55" s="154">
        <f>N55-4574.2</f>
        <v>113.71000000000004</v>
      </c>
      <c r="R55" s="155">
        <f>N55/4574.2</f>
        <v>1.0248589917362598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527.7</v>
      </c>
      <c r="F56" s="40">
        <v>527.8</v>
      </c>
      <c r="G56" s="49">
        <f aca="true" t="shared" si="25" ref="G56:G72">F56-E56</f>
        <v>0.09999999999990905</v>
      </c>
      <c r="H56" s="40">
        <f aca="true" t="shared" si="26" ref="H56:H67">F56/E56*100</f>
        <v>100.01895016107636</v>
      </c>
      <c r="I56" s="56">
        <f aca="true" t="shared" si="27" ref="I56:I72">F56-D56</f>
        <v>-6332.2</v>
      </c>
      <c r="J56" s="56">
        <f aca="true" t="shared" si="28" ref="J56:J72">F56/D56*100</f>
        <v>7.693877551020408</v>
      </c>
      <c r="K56" s="56">
        <f>F56-501.4</f>
        <v>26.399999999999977</v>
      </c>
      <c r="L56" s="56">
        <f>F56/501.4*100</f>
        <v>105.26525727961706</v>
      </c>
      <c r="M56" s="40">
        <f t="shared" si="6"/>
        <v>527.7</v>
      </c>
      <c r="N56" s="40">
        <f t="shared" si="7"/>
        <v>527.8</v>
      </c>
      <c r="O56" s="53">
        <f aca="true" t="shared" si="29" ref="O56:O72">N56-M56</f>
        <v>0.09999999999990905</v>
      </c>
      <c r="P56" s="56">
        <f aca="true" t="shared" si="30" ref="P56:P67">N56/M56*100</f>
        <v>100.01895016107636</v>
      </c>
      <c r="Q56" s="56">
        <f>N56-501.4</f>
        <v>26.399999999999977</v>
      </c>
      <c r="R56" s="135">
        <f>N56/501.4</f>
        <v>1.0526525727961706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25"/>
        <v>0</v>
      </c>
      <c r="H57" s="40" t="e">
        <f t="shared" si="26"/>
        <v>#DIV/0!</v>
      </c>
      <c r="I57" s="56">
        <f t="shared" si="27"/>
        <v>0</v>
      </c>
      <c r="J57" s="56" t="e">
        <f t="shared" si="28"/>
        <v>#DIV/0!</v>
      </c>
      <c r="K57" s="56"/>
      <c r="L57" s="56">
        <f aca="true" t="shared" si="31" ref="L57:L67">F57</f>
        <v>0</v>
      </c>
      <c r="M57" s="40">
        <f t="shared" si="6"/>
        <v>0</v>
      </c>
      <c r="N57" s="40">
        <f t="shared" si="7"/>
        <v>0</v>
      </c>
      <c r="O57" s="53">
        <f t="shared" si="29"/>
        <v>0</v>
      </c>
      <c r="P57" s="56" t="e">
        <f t="shared" si="30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25"/>
        <v>0</v>
      </c>
      <c r="H58" s="40" t="e">
        <f t="shared" si="26"/>
        <v>#DIV/0!</v>
      </c>
      <c r="I58" s="56">
        <f t="shared" si="27"/>
        <v>0</v>
      </c>
      <c r="J58" s="56" t="e">
        <f t="shared" si="28"/>
        <v>#DIV/0!</v>
      </c>
      <c r="K58" s="56"/>
      <c r="L58" s="56">
        <f t="shared" si="31"/>
        <v>0</v>
      </c>
      <c r="M58" s="40">
        <f t="shared" si="6"/>
        <v>0</v>
      </c>
      <c r="N58" s="40">
        <f t="shared" si="7"/>
        <v>0</v>
      </c>
      <c r="O58" s="53">
        <f t="shared" si="29"/>
        <v>0</v>
      </c>
      <c r="P58" s="56" t="e">
        <f t="shared" si="30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25"/>
        <v>0</v>
      </c>
      <c r="H59" s="40" t="e">
        <f t="shared" si="26"/>
        <v>#DIV/0!</v>
      </c>
      <c r="I59" s="56">
        <f t="shared" si="27"/>
        <v>0</v>
      </c>
      <c r="J59" s="56" t="e">
        <f t="shared" si="28"/>
        <v>#DIV/0!</v>
      </c>
      <c r="K59" s="56"/>
      <c r="L59" s="56">
        <f t="shared" si="31"/>
        <v>0</v>
      </c>
      <c r="M59" s="40">
        <f t="shared" si="6"/>
        <v>0</v>
      </c>
      <c r="N59" s="40">
        <f t="shared" si="7"/>
        <v>0</v>
      </c>
      <c r="O59" s="53">
        <f t="shared" si="29"/>
        <v>0</v>
      </c>
      <c r="P59" s="56" t="e">
        <f t="shared" si="30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25"/>
        <v>0</v>
      </c>
      <c r="H60" s="40" t="e">
        <f t="shared" si="26"/>
        <v>#DIV/0!</v>
      </c>
      <c r="I60" s="56">
        <f t="shared" si="27"/>
        <v>0</v>
      </c>
      <c r="J60" s="56" t="e">
        <f t="shared" si="28"/>
        <v>#DIV/0!</v>
      </c>
      <c r="K60" s="56"/>
      <c r="L60" s="56">
        <f t="shared" si="31"/>
        <v>0</v>
      </c>
      <c r="M60" s="40">
        <f t="shared" si="6"/>
        <v>0</v>
      </c>
      <c r="N60" s="40">
        <f t="shared" si="7"/>
        <v>0</v>
      </c>
      <c r="O60" s="53">
        <f t="shared" si="29"/>
        <v>0</v>
      </c>
      <c r="P60" s="56" t="e">
        <f t="shared" si="30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25"/>
        <v>0</v>
      </c>
      <c r="H61" s="40" t="e">
        <f t="shared" si="26"/>
        <v>#DIV/0!</v>
      </c>
      <c r="I61" s="56">
        <f t="shared" si="27"/>
        <v>0</v>
      </c>
      <c r="J61" s="56" t="e">
        <f t="shared" si="28"/>
        <v>#DIV/0!</v>
      </c>
      <c r="K61" s="56"/>
      <c r="L61" s="56">
        <f t="shared" si="31"/>
        <v>0</v>
      </c>
      <c r="M61" s="40">
        <f t="shared" si="6"/>
        <v>0</v>
      </c>
      <c r="N61" s="40">
        <f t="shared" si="7"/>
        <v>0</v>
      </c>
      <c r="O61" s="53">
        <f t="shared" si="29"/>
        <v>0</v>
      </c>
      <c r="P61" s="56" t="e">
        <f t="shared" si="30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25"/>
        <v>0</v>
      </c>
      <c r="H62" s="40" t="e">
        <f t="shared" si="26"/>
        <v>#DIV/0!</v>
      </c>
      <c r="I62" s="56">
        <f t="shared" si="27"/>
        <v>0</v>
      </c>
      <c r="J62" s="56" t="e">
        <f t="shared" si="28"/>
        <v>#DIV/0!</v>
      </c>
      <c r="K62" s="56"/>
      <c r="L62" s="56">
        <f t="shared" si="31"/>
        <v>0</v>
      </c>
      <c r="M62" s="40">
        <f t="shared" si="6"/>
        <v>0</v>
      </c>
      <c r="N62" s="40">
        <f t="shared" si="7"/>
        <v>0</v>
      </c>
      <c r="O62" s="53">
        <f t="shared" si="29"/>
        <v>0</v>
      </c>
      <c r="P62" s="56" t="e">
        <f t="shared" si="30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25"/>
        <v>0</v>
      </c>
      <c r="H63" s="40" t="e">
        <f t="shared" si="26"/>
        <v>#DIV/0!</v>
      </c>
      <c r="I63" s="56">
        <f t="shared" si="27"/>
        <v>0</v>
      </c>
      <c r="J63" s="56" t="e">
        <f t="shared" si="28"/>
        <v>#DIV/0!</v>
      </c>
      <c r="K63" s="56"/>
      <c r="L63" s="56">
        <f t="shared" si="31"/>
        <v>0</v>
      </c>
      <c r="M63" s="40">
        <f t="shared" si="6"/>
        <v>0</v>
      </c>
      <c r="N63" s="40">
        <f t="shared" si="7"/>
        <v>0</v>
      </c>
      <c r="O63" s="53">
        <f t="shared" si="29"/>
        <v>0</v>
      </c>
      <c r="P63" s="56" t="e">
        <f t="shared" si="30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25"/>
        <v>0</v>
      </c>
      <c r="H64" s="40" t="e">
        <f t="shared" si="26"/>
        <v>#DIV/0!</v>
      </c>
      <c r="I64" s="56">
        <f t="shared" si="27"/>
        <v>0</v>
      </c>
      <c r="J64" s="56" t="e">
        <f t="shared" si="28"/>
        <v>#DIV/0!</v>
      </c>
      <c r="K64" s="56"/>
      <c r="L64" s="56">
        <f t="shared" si="31"/>
        <v>0</v>
      </c>
      <c r="M64" s="40">
        <f t="shared" si="6"/>
        <v>0</v>
      </c>
      <c r="N64" s="40">
        <f t="shared" si="7"/>
        <v>0</v>
      </c>
      <c r="O64" s="53">
        <f t="shared" si="29"/>
        <v>0</v>
      </c>
      <c r="P64" s="56" t="e">
        <f t="shared" si="30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25"/>
        <v>0</v>
      </c>
      <c r="H65" s="40" t="e">
        <f t="shared" si="26"/>
        <v>#DIV/0!</v>
      </c>
      <c r="I65" s="56">
        <f t="shared" si="27"/>
        <v>0</v>
      </c>
      <c r="J65" s="56" t="e">
        <f t="shared" si="28"/>
        <v>#DIV/0!</v>
      </c>
      <c r="K65" s="56"/>
      <c r="L65" s="56">
        <f t="shared" si="31"/>
        <v>0</v>
      </c>
      <c r="M65" s="40">
        <f t="shared" si="6"/>
        <v>0</v>
      </c>
      <c r="N65" s="40">
        <f t="shared" si="7"/>
        <v>0</v>
      </c>
      <c r="O65" s="53">
        <f t="shared" si="29"/>
        <v>0</v>
      </c>
      <c r="P65" s="56" t="e">
        <f t="shared" si="30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25"/>
        <v>0</v>
      </c>
      <c r="H66" s="40" t="e">
        <f t="shared" si="26"/>
        <v>#DIV/0!</v>
      </c>
      <c r="I66" s="56">
        <f t="shared" si="27"/>
        <v>0</v>
      </c>
      <c r="J66" s="56" t="e">
        <f t="shared" si="28"/>
        <v>#DIV/0!</v>
      </c>
      <c r="K66" s="56"/>
      <c r="L66" s="56">
        <f t="shared" si="31"/>
        <v>0</v>
      </c>
      <c r="M66" s="40">
        <f t="shared" si="6"/>
        <v>0</v>
      </c>
      <c r="N66" s="40">
        <f t="shared" si="7"/>
        <v>0</v>
      </c>
      <c r="O66" s="53">
        <f t="shared" si="29"/>
        <v>0</v>
      </c>
      <c r="P66" s="56" t="e">
        <f t="shared" si="30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25"/>
        <v>0</v>
      </c>
      <c r="H67" s="40" t="e">
        <f t="shared" si="26"/>
        <v>#DIV/0!</v>
      </c>
      <c r="I67" s="56">
        <f t="shared" si="27"/>
        <v>0</v>
      </c>
      <c r="J67" s="56" t="e">
        <f t="shared" si="28"/>
        <v>#DIV/0!</v>
      </c>
      <c r="K67" s="56"/>
      <c r="L67" s="56">
        <f t="shared" si="31"/>
        <v>0</v>
      </c>
      <c r="M67" s="40">
        <f t="shared" si="6"/>
        <v>0</v>
      </c>
      <c r="N67" s="40">
        <f t="shared" si="7"/>
        <v>0</v>
      </c>
      <c r="O67" s="53">
        <f t="shared" si="29"/>
        <v>0</v>
      </c>
      <c r="P67" s="56" t="e">
        <f t="shared" si="30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0.15</v>
      </c>
      <c r="G68" s="49">
        <f t="shared" si="25"/>
        <v>0.04999999999999999</v>
      </c>
      <c r="H68" s="40"/>
      <c r="I68" s="56">
        <f t="shared" si="27"/>
        <v>0.04999999999999999</v>
      </c>
      <c r="J68" s="56">
        <f t="shared" si="28"/>
        <v>149.99999999999997</v>
      </c>
      <c r="K68" s="56">
        <f>F68-0.2</f>
        <v>-0.05000000000000002</v>
      </c>
      <c r="L68" s="56"/>
      <c r="M68" s="40">
        <f t="shared" si="6"/>
        <v>0.1</v>
      </c>
      <c r="N68" s="40">
        <f t="shared" si="7"/>
        <v>0.15</v>
      </c>
      <c r="O68" s="53">
        <f t="shared" si="29"/>
        <v>0.04999999999999999</v>
      </c>
      <c r="P68" s="56"/>
      <c r="Q68" s="56">
        <f>N68-0.2</f>
        <v>-0.05000000000000002</v>
      </c>
      <c r="R68" s="135">
        <f>N68/0.2</f>
        <v>0.7499999999999999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25"/>
        <v>0</v>
      </c>
      <c r="H69" s="40" t="e">
        <f>F69/E69*100</f>
        <v>#DIV/0!</v>
      </c>
      <c r="I69" s="56">
        <f t="shared" si="27"/>
        <v>0</v>
      </c>
      <c r="J69" s="56" t="e">
        <f t="shared" si="28"/>
        <v>#DIV/0!</v>
      </c>
      <c r="K69" s="56"/>
      <c r="L69" s="56"/>
      <c r="M69" s="40" t="e">
        <f>E69-#REF!</f>
        <v>#REF!</v>
      </c>
      <c r="N69" s="40" t="e">
        <f>F69-#REF!</f>
        <v>#REF!</v>
      </c>
      <c r="O69" s="53" t="e">
        <f t="shared" si="29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25"/>
        <v>0</v>
      </c>
      <c r="H70" s="40" t="e">
        <f>F70/E70*100</f>
        <v>#DIV/0!</v>
      </c>
      <c r="I70" s="56">
        <f t="shared" si="27"/>
        <v>0</v>
      </c>
      <c r="J70" s="56" t="e">
        <f t="shared" si="28"/>
        <v>#DIV/0!</v>
      </c>
      <c r="K70" s="56"/>
      <c r="L70" s="56"/>
      <c r="M70" s="40" t="e">
        <f>E70-#REF!</f>
        <v>#REF!</v>
      </c>
      <c r="N70" s="40" t="e">
        <f>F70-#REF!</f>
        <v>#REF!</v>
      </c>
      <c r="O70" s="53" t="e">
        <f t="shared" si="29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25"/>
        <v>0</v>
      </c>
      <c r="H71" s="40" t="e">
        <f>F71/E71*100</f>
        <v>#DIV/0!</v>
      </c>
      <c r="I71" s="56">
        <f t="shared" si="27"/>
        <v>-4590</v>
      </c>
      <c r="J71" s="56">
        <f t="shared" si="28"/>
        <v>0</v>
      </c>
      <c r="K71" s="56"/>
      <c r="L71" s="56"/>
      <c r="M71" s="40" t="e">
        <f>E71-#REF!</f>
        <v>#REF!</v>
      </c>
      <c r="N71" s="40" t="e">
        <f>F71-#REF!</f>
        <v>#REF!</v>
      </c>
      <c r="O71" s="53" t="e">
        <f t="shared" si="29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25"/>
        <v>0</v>
      </c>
      <c r="H72" s="40" t="e">
        <f>F72/E72*100</f>
        <v>#DIV/0!</v>
      </c>
      <c r="I72" s="56">
        <f t="shared" si="27"/>
        <v>-4410</v>
      </c>
      <c r="J72" s="56">
        <f t="shared" si="28"/>
        <v>0</v>
      </c>
      <c r="K72" s="56"/>
      <c r="L72" s="56"/>
      <c r="M72" s="40" t="e">
        <f>E72-#REF!</f>
        <v>#REF!</v>
      </c>
      <c r="N72" s="40" t="e">
        <f>F72-#REF!</f>
        <v>#REF!</v>
      </c>
      <c r="O72" s="53" t="e">
        <f t="shared" si="29"/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56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1013</v>
      </c>
      <c r="F74" s="22">
        <f>F77+F86+F88+F89+F94+F95+F96+F97+F99+F103+F87</f>
        <v>1017.63</v>
      </c>
      <c r="G74" s="50">
        <f aca="true" t="shared" si="32" ref="G74:G92">F74-E74</f>
        <v>4.6299999999999955</v>
      </c>
      <c r="H74" s="51">
        <f aca="true" t="shared" si="33" ref="H74:H86">F74/E74*100</f>
        <v>100.45705824284303</v>
      </c>
      <c r="I74" s="36">
        <f aca="true" t="shared" si="34" ref="I74:I92">F74-D74</f>
        <v>-16647.969999999998</v>
      </c>
      <c r="J74" s="36">
        <f aca="true" t="shared" si="35" ref="J74:J92">F74/D74*100</f>
        <v>5.760517616157957</v>
      </c>
      <c r="K74" s="36">
        <f>F74-920</f>
        <v>97.63</v>
      </c>
      <c r="L74" s="36">
        <f>F74/920*100</f>
        <v>110.61195652173915</v>
      </c>
      <c r="M74" s="22">
        <f>M77+M86+M88+M89+M94+M95+M96+M97+M99+M87</f>
        <v>1013</v>
      </c>
      <c r="N74" s="22">
        <f>N77+N86+N88+N89+N94+N95+N96+N97+N99+N32+N103+N87</f>
        <v>1017.63</v>
      </c>
      <c r="O74" s="55">
        <f aca="true" t="shared" si="36" ref="O74:O92">N74-M74</f>
        <v>4.6299999999999955</v>
      </c>
      <c r="P74" s="36">
        <f>N74/M74*100</f>
        <v>100.45705824284303</v>
      </c>
      <c r="Q74" s="36">
        <f>N74-920</f>
        <v>97.63</v>
      </c>
      <c r="R74" s="136">
        <f>N74/920</f>
        <v>1.1061195652173914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32"/>
        <v>#REF!</v>
      </c>
      <c r="H75" s="40" t="e">
        <f t="shared" si="33"/>
        <v>#REF!</v>
      </c>
      <c r="I75" s="56" t="e">
        <f t="shared" si="34"/>
        <v>#REF!</v>
      </c>
      <c r="J75" s="56" t="e">
        <f t="shared" si="35"/>
        <v>#REF!</v>
      </c>
      <c r="K75" s="56"/>
      <c r="L75" s="56"/>
      <c r="M75" s="58" t="e">
        <f>SUM(M76:M77)+SUM(#REF!)</f>
        <v>#REF!</v>
      </c>
      <c r="N75" s="58" t="e">
        <f>SUM(N76:N77)+SUM(#REF!)</f>
        <v>#REF!</v>
      </c>
      <c r="O75" s="53" t="e">
        <f t="shared" si="36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32"/>
        <v>0</v>
      </c>
      <c r="H76" s="40" t="e">
        <f t="shared" si="33"/>
        <v>#DIV/0!</v>
      </c>
      <c r="I76" s="56" t="e">
        <f t="shared" si="34"/>
        <v>#REF!</v>
      </c>
      <c r="J76" s="56" t="e">
        <f t="shared" si="35"/>
        <v>#REF!</v>
      </c>
      <c r="K76" s="56"/>
      <c r="L76" s="56"/>
      <c r="M76" s="59"/>
      <c r="N76" s="59"/>
      <c r="O76" s="53">
        <f t="shared" si="36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0</v>
      </c>
      <c r="F77" s="57">
        <v>0</v>
      </c>
      <c r="G77" s="49">
        <f t="shared" si="32"/>
        <v>0</v>
      </c>
      <c r="H77" s="40" t="e">
        <f t="shared" si="33"/>
        <v>#DIV/0!</v>
      </c>
      <c r="I77" s="56">
        <f t="shared" si="34"/>
        <v>-1700</v>
      </c>
      <c r="J77" s="56">
        <f t="shared" si="35"/>
        <v>0</v>
      </c>
      <c r="K77" s="56">
        <f>F77-0.9</f>
        <v>-0.9</v>
      </c>
      <c r="L77" s="56">
        <f>F77/0.9*100</f>
        <v>0</v>
      </c>
      <c r="M77" s="40">
        <f>E77</f>
        <v>0</v>
      </c>
      <c r="N77" s="40">
        <f>F77</f>
        <v>0</v>
      </c>
      <c r="O77" s="53">
        <f t="shared" si="36"/>
        <v>0</v>
      </c>
      <c r="P77" s="56" t="e">
        <f aca="true" t="shared" si="37" ref="P77:P86">N77/M77*100</f>
        <v>#DIV/0!</v>
      </c>
      <c r="Q77" s="56">
        <f>N77-0.9</f>
        <v>-0.9</v>
      </c>
      <c r="R77" s="135">
        <f>N77/0.9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32"/>
        <v>0</v>
      </c>
      <c r="H78" s="40" t="e">
        <f t="shared" si="33"/>
        <v>#DIV/0!</v>
      </c>
      <c r="I78" s="56">
        <f t="shared" si="34"/>
        <v>0</v>
      </c>
      <c r="J78" s="56" t="e">
        <f t="shared" si="35"/>
        <v>#DIV/0!</v>
      </c>
      <c r="K78" s="56"/>
      <c r="L78" s="56">
        <f aca="true" t="shared" si="38" ref="L78:L101">F78</f>
        <v>0</v>
      </c>
      <c r="M78" s="40">
        <f aca="true" t="shared" si="39" ref="M78:M105">E78</f>
        <v>0</v>
      </c>
      <c r="N78" s="40">
        <f aca="true" t="shared" si="40" ref="N78:N105">F78</f>
        <v>0</v>
      </c>
      <c r="O78" s="53">
        <f t="shared" si="36"/>
        <v>0</v>
      </c>
      <c r="P78" s="56" t="e">
        <f t="shared" si="37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32"/>
        <v>0</v>
      </c>
      <c r="H79" s="40" t="e">
        <f t="shared" si="33"/>
        <v>#DIV/0!</v>
      </c>
      <c r="I79" s="56">
        <f t="shared" si="34"/>
        <v>0</v>
      </c>
      <c r="J79" s="56" t="e">
        <f t="shared" si="35"/>
        <v>#DIV/0!</v>
      </c>
      <c r="K79" s="56"/>
      <c r="L79" s="56">
        <f t="shared" si="38"/>
        <v>0</v>
      </c>
      <c r="M79" s="40">
        <f t="shared" si="39"/>
        <v>0</v>
      </c>
      <c r="N79" s="40">
        <f t="shared" si="40"/>
        <v>0</v>
      </c>
      <c r="O79" s="53">
        <f t="shared" si="36"/>
        <v>0</v>
      </c>
      <c r="P79" s="56" t="e">
        <f t="shared" si="37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32"/>
        <v>0</v>
      </c>
      <c r="H80" s="40" t="e">
        <f t="shared" si="33"/>
        <v>#DIV/0!</v>
      </c>
      <c r="I80" s="56">
        <f t="shared" si="34"/>
        <v>0</v>
      </c>
      <c r="J80" s="56" t="e">
        <f t="shared" si="35"/>
        <v>#DIV/0!</v>
      </c>
      <c r="K80" s="56"/>
      <c r="L80" s="56">
        <f t="shared" si="38"/>
        <v>0</v>
      </c>
      <c r="M80" s="40">
        <f t="shared" si="39"/>
        <v>0</v>
      </c>
      <c r="N80" s="40">
        <f t="shared" si="40"/>
        <v>0</v>
      </c>
      <c r="O80" s="53">
        <f t="shared" si="36"/>
        <v>0</v>
      </c>
      <c r="P80" s="56" t="e">
        <f t="shared" si="37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32"/>
        <v>0</v>
      </c>
      <c r="H81" s="40" t="e">
        <f t="shared" si="33"/>
        <v>#DIV/0!</v>
      </c>
      <c r="I81" s="56">
        <f t="shared" si="34"/>
        <v>0</v>
      </c>
      <c r="J81" s="56" t="e">
        <f t="shared" si="35"/>
        <v>#DIV/0!</v>
      </c>
      <c r="K81" s="56"/>
      <c r="L81" s="56">
        <f t="shared" si="38"/>
        <v>0</v>
      </c>
      <c r="M81" s="40">
        <f t="shared" si="39"/>
        <v>0</v>
      </c>
      <c r="N81" s="40">
        <f t="shared" si="40"/>
        <v>0</v>
      </c>
      <c r="O81" s="53">
        <f t="shared" si="36"/>
        <v>0</v>
      </c>
      <c r="P81" s="56" t="e">
        <f t="shared" si="37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32"/>
        <v>0</v>
      </c>
      <c r="H82" s="40" t="e">
        <f t="shared" si="33"/>
        <v>#DIV/0!</v>
      </c>
      <c r="I82" s="56">
        <f t="shared" si="34"/>
        <v>0</v>
      </c>
      <c r="J82" s="56" t="e">
        <f t="shared" si="35"/>
        <v>#DIV/0!</v>
      </c>
      <c r="K82" s="56"/>
      <c r="L82" s="56">
        <f t="shared" si="38"/>
        <v>0</v>
      </c>
      <c r="M82" s="40">
        <f t="shared" si="39"/>
        <v>0</v>
      </c>
      <c r="N82" s="40">
        <f t="shared" si="40"/>
        <v>0</v>
      </c>
      <c r="O82" s="53">
        <f t="shared" si="36"/>
        <v>0</v>
      </c>
      <c r="P82" s="56" t="e">
        <f t="shared" si="37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32"/>
        <v>0</v>
      </c>
      <c r="H83" s="40" t="e">
        <f t="shared" si="33"/>
        <v>#DIV/0!</v>
      </c>
      <c r="I83" s="56">
        <f t="shared" si="34"/>
        <v>0</v>
      </c>
      <c r="J83" s="56" t="e">
        <f t="shared" si="35"/>
        <v>#DIV/0!</v>
      </c>
      <c r="K83" s="56"/>
      <c r="L83" s="56">
        <f t="shared" si="38"/>
        <v>0</v>
      </c>
      <c r="M83" s="40">
        <f t="shared" si="39"/>
        <v>0</v>
      </c>
      <c r="N83" s="40">
        <f t="shared" si="40"/>
        <v>0</v>
      </c>
      <c r="O83" s="53">
        <f t="shared" si="36"/>
        <v>0</v>
      </c>
      <c r="P83" s="56" t="e">
        <f t="shared" si="37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32"/>
        <v>0</v>
      </c>
      <c r="H84" s="40" t="e">
        <f t="shared" si="33"/>
        <v>#DIV/0!</v>
      </c>
      <c r="I84" s="56">
        <f t="shared" si="34"/>
        <v>0</v>
      </c>
      <c r="J84" s="56" t="e">
        <f t="shared" si="35"/>
        <v>#DIV/0!</v>
      </c>
      <c r="K84" s="56"/>
      <c r="L84" s="56">
        <f t="shared" si="38"/>
        <v>0</v>
      </c>
      <c r="M84" s="40">
        <f t="shared" si="39"/>
        <v>0</v>
      </c>
      <c r="N84" s="40">
        <f t="shared" si="40"/>
        <v>0</v>
      </c>
      <c r="O84" s="53">
        <f t="shared" si="36"/>
        <v>0</v>
      </c>
      <c r="P84" s="56" t="e">
        <f t="shared" si="37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32"/>
        <v>0</v>
      </c>
      <c r="H85" s="40" t="e">
        <f t="shared" si="33"/>
        <v>#DIV/0!</v>
      </c>
      <c r="I85" s="56">
        <f t="shared" si="34"/>
        <v>0</v>
      </c>
      <c r="J85" s="56" t="e">
        <f t="shared" si="35"/>
        <v>#DIV/0!</v>
      </c>
      <c r="K85" s="56"/>
      <c r="L85" s="56">
        <f t="shared" si="38"/>
        <v>0</v>
      </c>
      <c r="M85" s="40">
        <f t="shared" si="39"/>
        <v>0</v>
      </c>
      <c r="N85" s="40">
        <f t="shared" si="40"/>
        <v>0</v>
      </c>
      <c r="O85" s="53">
        <f t="shared" si="36"/>
        <v>0</v>
      </c>
      <c r="P85" s="56" t="e">
        <f t="shared" si="37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32"/>
        <v>0</v>
      </c>
      <c r="H86" s="40" t="e">
        <f t="shared" si="33"/>
        <v>#DIV/0!</v>
      </c>
      <c r="I86" s="56">
        <f t="shared" si="34"/>
        <v>-4300</v>
      </c>
      <c r="J86" s="56">
        <f t="shared" si="35"/>
        <v>0</v>
      </c>
      <c r="K86" s="56">
        <f>F86-0</f>
        <v>0</v>
      </c>
      <c r="L86" s="56" t="e">
        <f>F86/0*100</f>
        <v>#DIV/0!</v>
      </c>
      <c r="M86" s="40">
        <f t="shared" si="39"/>
        <v>0</v>
      </c>
      <c r="N86" s="40">
        <f t="shared" si="40"/>
        <v>0</v>
      </c>
      <c r="O86" s="53">
        <f t="shared" si="36"/>
        <v>0</v>
      </c>
      <c r="P86" s="56" t="e">
        <f t="shared" si="37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4.23</v>
      </c>
      <c r="G87" s="49"/>
      <c r="H87" s="40"/>
      <c r="I87" s="56"/>
      <c r="J87" s="56"/>
      <c r="K87" s="56"/>
      <c r="L87" s="56"/>
      <c r="M87" s="40">
        <f t="shared" si="39"/>
        <v>0</v>
      </c>
      <c r="N87" s="40">
        <f t="shared" si="40"/>
        <v>4.23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0</v>
      </c>
      <c r="G88" s="49">
        <f t="shared" si="32"/>
        <v>0</v>
      </c>
      <c r="H88" s="40" t="e">
        <f>F88/E88*100</f>
        <v>#DIV/0!</v>
      </c>
      <c r="I88" s="56">
        <f t="shared" si="34"/>
        <v>-5.1</v>
      </c>
      <c r="J88" s="56">
        <f t="shared" si="35"/>
        <v>0</v>
      </c>
      <c r="K88" s="56">
        <f>F88-0</f>
        <v>0</v>
      </c>
      <c r="L88" s="56" t="e">
        <f>F88/0*100</f>
        <v>#DIV/0!</v>
      </c>
      <c r="M88" s="40">
        <f t="shared" si="39"/>
        <v>0</v>
      </c>
      <c r="N88" s="40">
        <f t="shared" si="40"/>
        <v>0</v>
      </c>
      <c r="O88" s="53">
        <f t="shared" si="36"/>
        <v>0</v>
      </c>
      <c r="P88" s="56" t="e">
        <f>N88/M88*100</f>
        <v>#DIV/0!</v>
      </c>
      <c r="Q88" s="56">
        <f>N88-0</f>
        <v>0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9</v>
      </c>
      <c r="F89" s="57">
        <v>9.02</v>
      </c>
      <c r="G89" s="49">
        <f t="shared" si="32"/>
        <v>0.019999999999999574</v>
      </c>
      <c r="H89" s="40">
        <f>F89/E89*100</f>
        <v>100.22222222222221</v>
      </c>
      <c r="I89" s="56">
        <f t="shared" si="34"/>
        <v>-165.98</v>
      </c>
      <c r="J89" s="56">
        <f t="shared" si="35"/>
        <v>5.154285714285714</v>
      </c>
      <c r="K89" s="56">
        <f>F89-11.9</f>
        <v>-2.880000000000001</v>
      </c>
      <c r="L89" s="56">
        <f>F89/11.9*100</f>
        <v>75.7983193277311</v>
      </c>
      <c r="M89" s="40">
        <f t="shared" si="39"/>
        <v>9</v>
      </c>
      <c r="N89" s="40">
        <f t="shared" si="40"/>
        <v>9.02</v>
      </c>
      <c r="O89" s="53">
        <f t="shared" si="36"/>
        <v>0.019999999999999574</v>
      </c>
      <c r="P89" s="56">
        <f>N89/M89*100</f>
        <v>100.22222222222221</v>
      </c>
      <c r="Q89" s="56">
        <f>N89-11.9</f>
        <v>-2.880000000000001</v>
      </c>
      <c r="R89" s="135">
        <f>N89/11.9</f>
        <v>0.7579831932773109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32"/>
        <v>0</v>
      </c>
      <c r="H90" s="40" t="e">
        <f>F90/E90*100</f>
        <v>#DIV/0!</v>
      </c>
      <c r="I90" s="56">
        <f t="shared" si="34"/>
        <v>0</v>
      </c>
      <c r="J90" s="56" t="e">
        <f t="shared" si="35"/>
        <v>#DIV/0!</v>
      </c>
      <c r="K90" s="56"/>
      <c r="L90" s="56">
        <f t="shared" si="38"/>
        <v>0</v>
      </c>
      <c r="M90" s="40">
        <f t="shared" si="39"/>
        <v>0</v>
      </c>
      <c r="N90" s="40">
        <f t="shared" si="40"/>
        <v>0</v>
      </c>
      <c r="O90" s="53">
        <f t="shared" si="36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32"/>
        <v>0</v>
      </c>
      <c r="H91" s="40" t="e">
        <f>F91/E91*100</f>
        <v>#DIV/0!</v>
      </c>
      <c r="I91" s="56">
        <f t="shared" si="34"/>
        <v>0</v>
      </c>
      <c r="J91" s="56" t="e">
        <f t="shared" si="35"/>
        <v>#DIV/0!</v>
      </c>
      <c r="K91" s="56"/>
      <c r="L91" s="56">
        <f t="shared" si="38"/>
        <v>0</v>
      </c>
      <c r="M91" s="40">
        <f t="shared" si="39"/>
        <v>0</v>
      </c>
      <c r="N91" s="40">
        <f t="shared" si="40"/>
        <v>0</v>
      </c>
      <c r="O91" s="53">
        <f t="shared" si="36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32"/>
        <v>0</v>
      </c>
      <c r="H92" s="40" t="e">
        <f>F92/E92*100</f>
        <v>#DIV/0!</v>
      </c>
      <c r="I92" s="56">
        <f t="shared" si="34"/>
        <v>0</v>
      </c>
      <c r="J92" s="56" t="e">
        <f t="shared" si="35"/>
        <v>#DIV/0!</v>
      </c>
      <c r="K92" s="56"/>
      <c r="L92" s="56">
        <f t="shared" si="38"/>
        <v>0</v>
      </c>
      <c r="M92" s="40">
        <f t="shared" si="39"/>
        <v>0</v>
      </c>
      <c r="N92" s="40">
        <f t="shared" si="40"/>
        <v>0</v>
      </c>
      <c r="O92" s="53">
        <f t="shared" si="36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56">
        <f t="shared" si="38"/>
        <v>0</v>
      </c>
      <c r="M93" s="40">
        <f t="shared" si="39"/>
        <v>0</v>
      </c>
      <c r="N93" s="40">
        <f t="shared" si="40"/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41" ref="G94:G101">F94-E94</f>
        <v>0</v>
      </c>
      <c r="H94" s="40"/>
      <c r="I94" s="56">
        <f aca="true" t="shared" si="42" ref="I94:I100">F94-D94</f>
        <v>0</v>
      </c>
      <c r="J94" s="56"/>
      <c r="K94" s="56"/>
      <c r="L94" s="56">
        <f t="shared" si="38"/>
        <v>0</v>
      </c>
      <c r="M94" s="40">
        <f t="shared" si="39"/>
        <v>0</v>
      </c>
      <c r="N94" s="40">
        <f t="shared" si="40"/>
        <v>0</v>
      </c>
      <c r="O94" s="53">
        <f aca="true" t="shared" si="4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647.5</v>
      </c>
      <c r="F95" s="57">
        <v>647.49</v>
      </c>
      <c r="G95" s="49">
        <f t="shared" si="41"/>
        <v>-0.009999999999990905</v>
      </c>
      <c r="H95" s="40">
        <f>F95/E95*100</f>
        <v>99.9984555984556</v>
      </c>
      <c r="I95" s="56">
        <f t="shared" si="42"/>
        <v>-5652.51</v>
      </c>
      <c r="J95" s="56">
        <f>F95/D95*100</f>
        <v>10.277619047619048</v>
      </c>
      <c r="K95" s="56">
        <f>F95-638.2</f>
        <v>9.289999999999964</v>
      </c>
      <c r="L95" s="56">
        <f>F95/638.2*100</f>
        <v>101.45565653400188</v>
      </c>
      <c r="M95" s="40">
        <f t="shared" si="39"/>
        <v>647.5</v>
      </c>
      <c r="N95" s="40">
        <f t="shared" si="40"/>
        <v>647.49</v>
      </c>
      <c r="O95" s="53">
        <f t="shared" si="43"/>
        <v>-0.009999999999990905</v>
      </c>
      <c r="P95" s="56">
        <f>N95/M95*100</f>
        <v>99.9984555984556</v>
      </c>
      <c r="Q95" s="56">
        <f>N95-638.2</f>
        <v>9.289999999999964</v>
      </c>
      <c r="R95" s="135">
        <f>N95/638.2</f>
        <v>1.0145565653400188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79.5</v>
      </c>
      <c r="F96" s="57">
        <v>79.51</v>
      </c>
      <c r="G96" s="49">
        <f t="shared" si="41"/>
        <v>0.010000000000005116</v>
      </c>
      <c r="H96" s="40">
        <f>F96/E96*100</f>
        <v>100.0125786163522</v>
      </c>
      <c r="I96" s="56">
        <f t="shared" si="42"/>
        <v>-1120.49</v>
      </c>
      <c r="J96" s="56">
        <f>F96/D96*100</f>
        <v>6.6258333333333335</v>
      </c>
      <c r="K96" s="56">
        <f>F96-17.2</f>
        <v>62.31</v>
      </c>
      <c r="L96" s="56">
        <f>F96/17.2*100</f>
        <v>462.2674418604651</v>
      </c>
      <c r="M96" s="40">
        <f t="shared" si="39"/>
        <v>79.5</v>
      </c>
      <c r="N96" s="40">
        <f t="shared" si="40"/>
        <v>79.51</v>
      </c>
      <c r="O96" s="53">
        <f t="shared" si="43"/>
        <v>0.010000000000005116</v>
      </c>
      <c r="P96" s="56">
        <f>N96/M96*100</f>
        <v>100.0125786163522</v>
      </c>
      <c r="Q96" s="56">
        <f>N96-17.2</f>
        <v>62.31</v>
      </c>
      <c r="R96" s="135">
        <f>N96/17.2</f>
        <v>4.622674418604651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41"/>
        <v>0</v>
      </c>
      <c r="H97" s="40"/>
      <c r="I97" s="56">
        <f t="shared" si="42"/>
        <v>-40</v>
      </c>
      <c r="J97" s="56"/>
      <c r="K97" s="56"/>
      <c r="L97" s="56"/>
      <c r="M97" s="40">
        <f t="shared" si="39"/>
        <v>0</v>
      </c>
      <c r="N97" s="40">
        <f t="shared" si="40"/>
        <v>0</v>
      </c>
      <c r="O97" s="53">
        <f t="shared" si="4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41"/>
        <v>0</v>
      </c>
      <c r="H98" s="40" t="e">
        <f>F98/E98*100</f>
        <v>#DIV/0!</v>
      </c>
      <c r="I98" s="56">
        <f t="shared" si="42"/>
        <v>0</v>
      </c>
      <c r="J98" s="56" t="e">
        <f>F98/D98*100</f>
        <v>#DIV/0!</v>
      </c>
      <c r="K98" s="56"/>
      <c r="L98" s="56">
        <f t="shared" si="38"/>
        <v>0</v>
      </c>
      <c r="M98" s="40">
        <f t="shared" si="39"/>
        <v>0</v>
      </c>
      <c r="N98" s="40">
        <f t="shared" si="40"/>
        <v>0</v>
      </c>
      <c r="O98" s="53">
        <f t="shared" si="4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277</v>
      </c>
      <c r="F99" s="57">
        <v>277.38</v>
      </c>
      <c r="G99" s="49">
        <f t="shared" si="41"/>
        <v>0.37999999999999545</v>
      </c>
      <c r="H99" s="40">
        <f>F99/E99*100</f>
        <v>100.13718411552345</v>
      </c>
      <c r="I99" s="56">
        <f t="shared" si="42"/>
        <v>-3602.62</v>
      </c>
      <c r="J99" s="56">
        <f>F99/D99*100</f>
        <v>7.148969072164949</v>
      </c>
      <c r="K99" s="56">
        <f>F99-236.4</f>
        <v>40.97999999999999</v>
      </c>
      <c r="L99" s="56">
        <f>F99/236.5*100</f>
        <v>117.28541226215646</v>
      </c>
      <c r="M99" s="40">
        <f t="shared" si="39"/>
        <v>277</v>
      </c>
      <c r="N99" s="40">
        <f t="shared" si="40"/>
        <v>277.38</v>
      </c>
      <c r="O99" s="53">
        <f t="shared" si="43"/>
        <v>0.37999999999999545</v>
      </c>
      <c r="P99" s="56">
        <f>N99/M99*100</f>
        <v>100.13718411552345</v>
      </c>
      <c r="Q99" s="56">
        <f>N99-236.4</f>
        <v>40.97999999999999</v>
      </c>
      <c r="R99" s="135">
        <f>N99/236.4</f>
        <v>1.1733502538071066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41"/>
        <v>0</v>
      </c>
      <c r="H100" s="40" t="e">
        <f>F100/E100*100</f>
        <v>#DIV/0!</v>
      </c>
      <c r="I100" s="56">
        <f t="shared" si="42"/>
        <v>0</v>
      </c>
      <c r="J100" s="56" t="e">
        <f>F100/D100*100</f>
        <v>#DIV/0!</v>
      </c>
      <c r="K100" s="56"/>
      <c r="L100" s="56">
        <f t="shared" si="38"/>
        <v>0</v>
      </c>
      <c r="M100" s="40">
        <f t="shared" si="39"/>
        <v>0</v>
      </c>
      <c r="N100" s="40">
        <f t="shared" si="40"/>
        <v>0</v>
      </c>
      <c r="O100" s="53">
        <f t="shared" si="4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4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56">
        <f t="shared" si="38"/>
        <v>0</v>
      </c>
      <c r="M101" s="40">
        <f t="shared" si="39"/>
        <v>0</v>
      </c>
      <c r="N101" s="40">
        <f t="shared" si="40"/>
        <v>0</v>
      </c>
      <c r="O101" s="53">
        <f t="shared" si="4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7">
        <v>64.93</v>
      </c>
      <c r="G102" s="144"/>
      <c r="H102" s="146"/>
      <c r="I102" s="145"/>
      <c r="J102" s="145"/>
      <c r="K102" s="145">
        <f>F102-30.6</f>
        <v>34.330000000000005</v>
      </c>
      <c r="L102" s="148">
        <f>F102/30.6*100</f>
        <v>212.18954248366012</v>
      </c>
      <c r="M102" s="40">
        <f t="shared" si="39"/>
        <v>0</v>
      </c>
      <c r="N102" s="40">
        <f t="shared" si="40"/>
        <v>64.93</v>
      </c>
      <c r="O102" s="53"/>
      <c r="P102" s="56"/>
      <c r="Q102" s="56">
        <f>N102-30.6</f>
        <v>34.330000000000005</v>
      </c>
      <c r="R102" s="135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44" ref="I103:I110">F103-D103</f>
        <v>-65.5</v>
      </c>
      <c r="J103" s="56"/>
      <c r="K103" s="56">
        <f>F103-0</f>
        <v>0</v>
      </c>
      <c r="L103" s="56" t="e">
        <f>F103/0*100</f>
        <v>#DIV/0!</v>
      </c>
      <c r="M103" s="40">
        <f t="shared" si="39"/>
        <v>0</v>
      </c>
      <c r="N103" s="40">
        <f t="shared" si="40"/>
        <v>0</v>
      </c>
      <c r="O103" s="53">
        <f aca="true" t="shared" si="4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2.2</v>
      </c>
      <c r="F104" s="57">
        <v>2.21</v>
      </c>
      <c r="G104" s="49">
        <f>F104-E104</f>
        <v>0.009999999999999787</v>
      </c>
      <c r="H104" s="40"/>
      <c r="I104" s="56">
        <f t="shared" si="44"/>
        <v>-42.79</v>
      </c>
      <c r="J104" s="56">
        <f aca="true" t="shared" si="46" ref="J104:J109">F104/D104*100</f>
        <v>4.911111111111111</v>
      </c>
      <c r="K104" s="56">
        <f>F104-0</f>
        <v>2.21</v>
      </c>
      <c r="L104" s="56" t="e">
        <f>F104/0*100</f>
        <v>#DIV/0!</v>
      </c>
      <c r="M104" s="40">
        <f t="shared" si="39"/>
        <v>2.2</v>
      </c>
      <c r="N104" s="40">
        <f t="shared" si="40"/>
        <v>2.21</v>
      </c>
      <c r="O104" s="53">
        <f t="shared" si="45"/>
        <v>0.009999999999999787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</v>
      </c>
      <c r="G105" s="49"/>
      <c r="H105" s="40"/>
      <c r="I105" s="56"/>
      <c r="J105" s="56"/>
      <c r="K105" s="56"/>
      <c r="L105" s="56"/>
      <c r="M105" s="40">
        <f t="shared" si="39"/>
        <v>0</v>
      </c>
      <c r="N105" s="40">
        <f t="shared" si="40"/>
        <v>0</v>
      </c>
      <c r="O105" s="53">
        <f t="shared" si="45"/>
        <v>0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36828.899999999994</v>
      </c>
      <c r="F106" s="22">
        <f>F8+F74+F104+F105</f>
        <v>34768</v>
      </c>
      <c r="G106" s="50">
        <f>F106-E106</f>
        <v>-2060.899999999994</v>
      </c>
      <c r="H106" s="51">
        <f>F106/E106*100</f>
        <v>94.40412284917554</v>
      </c>
      <c r="I106" s="36">
        <f t="shared" si="44"/>
        <v>-502271.9</v>
      </c>
      <c r="J106" s="36">
        <f t="shared" si="46"/>
        <v>6.4740068661565</v>
      </c>
      <c r="K106" s="36">
        <f>F106-34521.7</f>
        <v>246.3000000000029</v>
      </c>
      <c r="L106" s="36">
        <f>F106/34521.7*100</f>
        <v>100.7134642847832</v>
      </c>
      <c r="M106" s="22">
        <f>M8+M74+M104+M105</f>
        <v>36828.899999999994</v>
      </c>
      <c r="N106" s="22">
        <f>N8+N74+N104+N105</f>
        <v>34768</v>
      </c>
      <c r="O106" s="55">
        <f t="shared" si="45"/>
        <v>-2060.899999999994</v>
      </c>
      <c r="P106" s="36">
        <f>N106/M106*100</f>
        <v>94.40412284917554</v>
      </c>
      <c r="Q106" s="36">
        <f>N106-34521.7</f>
        <v>246.3000000000029</v>
      </c>
      <c r="R106" s="136">
        <f>N106/34521.7</f>
        <v>1.007134642847832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28713.4</v>
      </c>
      <c r="F107" s="71">
        <f>F10-F18+F96</f>
        <v>26647.62</v>
      </c>
      <c r="G107" s="71">
        <f>G10-G18+G96</f>
        <v>-2065.7800000000007</v>
      </c>
      <c r="H107" s="72">
        <f>F107/E107*100</f>
        <v>92.80551937422945</v>
      </c>
      <c r="I107" s="52">
        <f t="shared" si="44"/>
        <v>-392918.58</v>
      </c>
      <c r="J107" s="52">
        <f t="shared" si="46"/>
        <v>6.351231343230222</v>
      </c>
      <c r="K107" s="52">
        <f>F107-26764.7</f>
        <v>-117.08000000000175</v>
      </c>
      <c r="L107" s="52">
        <f>F107/26764.7*100</f>
        <v>99.56255814561716</v>
      </c>
      <c r="M107" s="71">
        <f>M10-M18+M96</f>
        <v>28713.4</v>
      </c>
      <c r="N107" s="71">
        <f>N10-N18+N96</f>
        <v>26647.62</v>
      </c>
      <c r="O107" s="53">
        <f t="shared" si="45"/>
        <v>-2065.7800000000025</v>
      </c>
      <c r="P107" s="52">
        <f>N107/M107*100</f>
        <v>92.80551937422945</v>
      </c>
      <c r="Q107" s="52">
        <f>N107-26764.7</f>
        <v>-117.08000000000175</v>
      </c>
      <c r="R107" s="137">
        <f>N107/26764.7</f>
        <v>0.9956255814561716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8115.499999999993</v>
      </c>
      <c r="F108" s="71">
        <f>F106-F107</f>
        <v>8120.380000000001</v>
      </c>
      <c r="G108" s="62">
        <f>F108-E108</f>
        <v>4.880000000008295</v>
      </c>
      <c r="H108" s="72">
        <f>F108/E108*100</f>
        <v>100.06013184646673</v>
      </c>
      <c r="I108" s="52">
        <f t="shared" si="44"/>
        <v>-109353.32</v>
      </c>
      <c r="J108" s="52">
        <f t="shared" si="46"/>
        <v>6.912508927530163</v>
      </c>
      <c r="K108" s="52">
        <f>F108-7757</f>
        <v>363.380000000001</v>
      </c>
      <c r="L108" s="52">
        <f>F108/7757*100</f>
        <v>104.68454299342531</v>
      </c>
      <c r="M108" s="71">
        <f>M106-M107</f>
        <v>8115.499999999993</v>
      </c>
      <c r="N108" s="71">
        <f>N106-N107</f>
        <v>8120.380000000001</v>
      </c>
      <c r="O108" s="53">
        <f t="shared" si="45"/>
        <v>4.880000000008295</v>
      </c>
      <c r="P108" s="52">
        <f>N108/M108*100</f>
        <v>100.06013184646673</v>
      </c>
      <c r="Q108" s="52">
        <f>N108-7757</f>
        <v>363.380000000001</v>
      </c>
      <c r="R108" s="137">
        <f>N108/7757</f>
        <v>1.0468454299342531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28713.4</v>
      </c>
      <c r="F109" s="71">
        <f>F107</f>
        <v>26647.62</v>
      </c>
      <c r="G109" s="111">
        <f>F109-E109</f>
        <v>-2065.7800000000025</v>
      </c>
      <c r="H109" s="72">
        <f>F109/E109*100</f>
        <v>92.80551937422945</v>
      </c>
      <c r="I109" s="81">
        <f t="shared" si="44"/>
        <v>-361565.58</v>
      </c>
      <c r="J109" s="52">
        <f t="shared" si="46"/>
        <v>6.864171542853256</v>
      </c>
      <c r="K109" s="52"/>
      <c r="L109" s="52"/>
      <c r="M109" s="122">
        <f>E109</f>
        <v>28713.4</v>
      </c>
      <c r="N109" s="71">
        <f>N107</f>
        <v>26647.62</v>
      </c>
      <c r="O109" s="118">
        <f t="shared" si="45"/>
        <v>-2065.7800000000025</v>
      </c>
      <c r="P109" s="52">
        <f>N109/M109*100</f>
        <v>92.80551937422945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1568.431</v>
      </c>
      <c r="F110" s="87">
        <f>'[1]січень'!$C$29/1000</f>
        <v>1568.431</v>
      </c>
      <c r="G110" s="62">
        <f>F110-E110</f>
        <v>0</v>
      </c>
      <c r="H110" s="72"/>
      <c r="I110" s="85">
        <f t="shared" si="44"/>
        <v>-3301.9453</v>
      </c>
      <c r="J110" s="52"/>
      <c r="K110" s="52"/>
      <c r="L110" s="52"/>
      <c r="M110" s="40">
        <v>1568.431</v>
      </c>
      <c r="N110" s="71">
        <f>F110</f>
        <v>1568.431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 hidden="1">
      <c r="A111" s="69"/>
      <c r="B111" s="83" t="s">
        <v>180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52"/>
      <c r="M111" s="40">
        <v>0</v>
      </c>
      <c r="N111" s="84">
        <v>0</v>
      </c>
      <c r="O111" s="118">
        <f>N111-M111</f>
        <v>0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60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0.18</v>
      </c>
      <c r="G113" s="49">
        <f aca="true" t="shared" si="47" ref="G113:G125">F113-E113</f>
        <v>0.18</v>
      </c>
      <c r="H113" s="40"/>
      <c r="I113" s="60">
        <f aca="true" t="shared" si="48" ref="I113:I124">F113-D113</f>
        <v>0.18</v>
      </c>
      <c r="J113" s="60"/>
      <c r="K113" s="60">
        <f>F113-0.09</f>
        <v>0.09</v>
      </c>
      <c r="L113" s="60">
        <f>F113/0.09*100</f>
        <v>200</v>
      </c>
      <c r="M113" s="40">
        <f aca="true" t="shared" si="49" ref="M113:N115">E113</f>
        <v>0</v>
      </c>
      <c r="N113" s="40">
        <f t="shared" si="49"/>
        <v>0.18</v>
      </c>
      <c r="O113" s="53"/>
      <c r="P113" s="60"/>
      <c r="Q113" s="60">
        <f>N113-0.09</f>
        <v>0.09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68.1</v>
      </c>
      <c r="F114" s="32">
        <v>68.14</v>
      </c>
      <c r="G114" s="49">
        <f t="shared" si="47"/>
        <v>0.04000000000000625</v>
      </c>
      <c r="H114" s="40">
        <f aca="true" t="shared" si="50" ref="H114:H125">F114/E114*100</f>
        <v>100.05873715124818</v>
      </c>
      <c r="I114" s="60">
        <f t="shared" si="48"/>
        <v>-3603.36</v>
      </c>
      <c r="J114" s="60">
        <f aca="true" t="shared" si="51" ref="J114:J120">F114/D114*100</f>
        <v>1.8559172000544737</v>
      </c>
      <c r="K114" s="60">
        <f>F114-246.7</f>
        <v>-178.56</v>
      </c>
      <c r="L114" s="60">
        <f>F114/246.7*100</f>
        <v>27.62059181191731</v>
      </c>
      <c r="M114" s="40">
        <f t="shared" si="49"/>
        <v>68.1</v>
      </c>
      <c r="N114" s="40">
        <f t="shared" si="49"/>
        <v>68.14</v>
      </c>
      <c r="O114" s="53">
        <f aca="true" t="shared" si="52" ref="O114:O125">N114-M114</f>
        <v>0.04000000000000625</v>
      </c>
      <c r="P114" s="60">
        <f>N114/M114*100</f>
        <v>100.05873715124818</v>
      </c>
      <c r="Q114" s="60">
        <f>N114-246.7</f>
        <v>-178.56</v>
      </c>
      <c r="R114" s="138">
        <f>N114/246.7</f>
        <v>0.2762059181191731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24.5</v>
      </c>
      <c r="F115" s="32">
        <v>24.53</v>
      </c>
      <c r="G115" s="49">
        <f t="shared" si="47"/>
        <v>0.030000000000001137</v>
      </c>
      <c r="H115" s="40">
        <f t="shared" si="50"/>
        <v>100.12244897959184</v>
      </c>
      <c r="I115" s="60">
        <f t="shared" si="48"/>
        <v>-243.57000000000002</v>
      </c>
      <c r="J115" s="60">
        <f t="shared" si="51"/>
        <v>9.149571055576278</v>
      </c>
      <c r="K115" s="60">
        <f>F115-22.5</f>
        <v>2.030000000000001</v>
      </c>
      <c r="L115" s="60">
        <f>F115/22.5*100</f>
        <v>109.02222222222223</v>
      </c>
      <c r="M115" s="40">
        <f t="shared" si="49"/>
        <v>24.5</v>
      </c>
      <c r="N115" s="40">
        <f t="shared" si="49"/>
        <v>24.53</v>
      </c>
      <c r="O115" s="53">
        <f t="shared" si="52"/>
        <v>0.030000000000001137</v>
      </c>
      <c r="P115" s="60">
        <f>N115/M115*100</f>
        <v>100.12244897959184</v>
      </c>
      <c r="Q115" s="60">
        <f>N115-22.5</f>
        <v>2.030000000000001</v>
      </c>
      <c r="R115" s="138">
        <f>N115/22.5</f>
        <v>1.0902222222222222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92.6</v>
      </c>
      <c r="F116" s="38">
        <f>SUM(F113:F115)</f>
        <v>92.85000000000001</v>
      </c>
      <c r="G116" s="62">
        <f t="shared" si="47"/>
        <v>0.2500000000000142</v>
      </c>
      <c r="H116" s="72">
        <f t="shared" si="50"/>
        <v>100.26997840172787</v>
      </c>
      <c r="I116" s="61">
        <f t="shared" si="48"/>
        <v>-3846.75</v>
      </c>
      <c r="J116" s="61">
        <f t="shared" si="51"/>
        <v>2.3568382576911366</v>
      </c>
      <c r="K116" s="61">
        <f>F116-270.1</f>
        <v>-177.25</v>
      </c>
      <c r="L116" s="61">
        <f>F116/270.1*100</f>
        <v>34.3761569788967</v>
      </c>
      <c r="M116" s="62">
        <f>M114+M115+M113</f>
        <v>92.6</v>
      </c>
      <c r="N116" s="38">
        <f>SUM(N113:N115)</f>
        <v>92.85000000000001</v>
      </c>
      <c r="O116" s="61">
        <f t="shared" si="52"/>
        <v>0.2500000000000142</v>
      </c>
      <c r="P116" s="61">
        <f>N116/M116*100</f>
        <v>100.26997840172787</v>
      </c>
      <c r="Q116" s="61">
        <f>N116-270.1</f>
        <v>-177.25</v>
      </c>
      <c r="R116" s="139">
        <f>N116/270.1</f>
        <v>0.34376156978896705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47"/>
        <v>0</v>
      </c>
      <c r="H117" s="40" t="e">
        <f t="shared" si="50"/>
        <v>#DIV/0!</v>
      </c>
      <c r="I117" s="60">
        <f t="shared" si="48"/>
        <v>0</v>
      </c>
      <c r="J117" s="60" t="e">
        <f t="shared" si="51"/>
        <v>#DIV/0!</v>
      </c>
      <c r="K117" s="60"/>
      <c r="L117" s="60"/>
      <c r="M117" s="41">
        <v>0</v>
      </c>
      <c r="N117" s="41">
        <f aca="true" t="shared" si="53" ref="N117:N122">F117</f>
        <v>0</v>
      </c>
      <c r="O117" s="53">
        <f t="shared" si="52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54.32</v>
      </c>
      <c r="G118" s="49">
        <f t="shared" si="47"/>
        <v>54.32</v>
      </c>
      <c r="H118" s="40" t="e">
        <f t="shared" si="50"/>
        <v>#DIV/0!</v>
      </c>
      <c r="I118" s="60">
        <f t="shared" si="48"/>
        <v>54.32</v>
      </c>
      <c r="J118" s="60" t="e">
        <f t="shared" si="51"/>
        <v>#DIV/0!</v>
      </c>
      <c r="K118" s="60">
        <f>F118-0.2</f>
        <v>54.12</v>
      </c>
      <c r="L118" s="60">
        <f>F118/0.2*100</f>
        <v>27159.999999999996</v>
      </c>
      <c r="M118" s="40">
        <f>E118</f>
        <v>0</v>
      </c>
      <c r="N118" s="40">
        <f t="shared" si="53"/>
        <v>54.32</v>
      </c>
      <c r="O118" s="53" t="s">
        <v>166</v>
      </c>
      <c r="P118" s="60"/>
      <c r="Q118" s="60">
        <f>N118-0.2</f>
        <v>54.12</v>
      </c>
      <c r="R118" s="138"/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7479.6</v>
      </c>
      <c r="F119" s="33">
        <v>7479.86</v>
      </c>
      <c r="G119" s="49">
        <f t="shared" si="47"/>
        <v>0.2599999999993088</v>
      </c>
      <c r="H119" s="40">
        <f t="shared" si="50"/>
        <v>100.00347612171774</v>
      </c>
      <c r="I119" s="53">
        <f t="shared" si="48"/>
        <v>-18507.524999999998</v>
      </c>
      <c r="J119" s="60">
        <f t="shared" si="51"/>
        <v>28.782657431673098</v>
      </c>
      <c r="K119" s="60">
        <f>F119-6357.6</f>
        <v>1122.2599999999993</v>
      </c>
      <c r="L119" s="60">
        <f>F119/6357.6*100</f>
        <v>117.6522587139801</v>
      </c>
      <c r="M119" s="40">
        <f>E119</f>
        <v>7479.6</v>
      </c>
      <c r="N119" s="40">
        <f t="shared" si="53"/>
        <v>7479.86</v>
      </c>
      <c r="O119" s="53">
        <f t="shared" si="52"/>
        <v>0.2599999999993088</v>
      </c>
      <c r="P119" s="60">
        <f aca="true" t="shared" si="54" ref="P119:P124">N119/M119*100</f>
        <v>100.00347612171774</v>
      </c>
      <c r="Q119" s="60">
        <f>N119-6357.6</f>
        <v>1122.2599999999993</v>
      </c>
      <c r="R119" s="138">
        <f>N119/6357.6</f>
        <v>1.176522587139801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0.04</v>
      </c>
      <c r="G120" s="49">
        <f t="shared" si="47"/>
        <v>0.04</v>
      </c>
      <c r="H120" s="40" t="e">
        <f t="shared" si="50"/>
        <v>#DIV/0!</v>
      </c>
      <c r="I120" s="60">
        <f t="shared" si="48"/>
        <v>0.04</v>
      </c>
      <c r="J120" s="60" t="e">
        <f t="shared" si="51"/>
        <v>#DIV/0!</v>
      </c>
      <c r="K120" s="60">
        <f>F120-230.3</f>
        <v>-230.26000000000002</v>
      </c>
      <c r="L120" s="60">
        <f>F120/230.3*100</f>
        <v>0.017368649587494574</v>
      </c>
      <c r="M120" s="40">
        <f>E120</f>
        <v>0</v>
      </c>
      <c r="N120" s="40">
        <f t="shared" si="53"/>
        <v>0.04</v>
      </c>
      <c r="O120" s="53">
        <f t="shared" si="52"/>
        <v>0.04</v>
      </c>
      <c r="P120" s="60" t="e">
        <f t="shared" si="54"/>
        <v>#DIV/0!</v>
      </c>
      <c r="Q120" s="60">
        <f>N120-230.3</f>
        <v>-230.26000000000002</v>
      </c>
      <c r="R120" s="138">
        <f>N120/230.3</f>
        <v>0.00017368649587494572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450.01</v>
      </c>
      <c r="G121" s="49">
        <f t="shared" si="47"/>
        <v>450.01</v>
      </c>
      <c r="H121" s="40" t="e">
        <f t="shared" si="50"/>
        <v>#DIV/0!</v>
      </c>
      <c r="I121" s="60">
        <f t="shared" si="48"/>
        <v>450.01</v>
      </c>
      <c r="J121" s="60" t="e">
        <f>F121/D121*100</f>
        <v>#DIV/0!</v>
      </c>
      <c r="K121" s="60">
        <f>F121-238.5</f>
        <v>211.51</v>
      </c>
      <c r="L121" s="60">
        <f>F121/238.5*100</f>
        <v>188.68343815513626</v>
      </c>
      <c r="M121" s="40">
        <f>E121</f>
        <v>0</v>
      </c>
      <c r="N121" s="40">
        <f t="shared" si="53"/>
        <v>450.01</v>
      </c>
      <c r="O121" s="53">
        <f t="shared" si="52"/>
        <v>450.01</v>
      </c>
      <c r="P121" s="60" t="e">
        <f t="shared" si="54"/>
        <v>#DIV/0!</v>
      </c>
      <c r="Q121" s="60">
        <f>N121-238.5</f>
        <v>211.51</v>
      </c>
      <c r="R121" s="138">
        <f>N121/238.5</f>
        <v>1.8868343815513626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1.05</v>
      </c>
      <c r="G122" s="49">
        <f t="shared" si="47"/>
        <v>1.05</v>
      </c>
      <c r="H122" s="40" t="e">
        <f t="shared" si="50"/>
        <v>#DIV/0!</v>
      </c>
      <c r="I122" s="60">
        <f t="shared" si="48"/>
        <v>1.05</v>
      </c>
      <c r="J122" s="60" t="e">
        <f>F122/D122*100</f>
        <v>#DIV/0!</v>
      </c>
      <c r="K122" s="60">
        <f>F122-14.6</f>
        <v>-13.549999999999999</v>
      </c>
      <c r="L122" s="60">
        <f>F122/14.6*100</f>
        <v>7.191780821917809</v>
      </c>
      <c r="M122" s="40">
        <f>E122</f>
        <v>0</v>
      </c>
      <c r="N122" s="40">
        <f t="shared" si="53"/>
        <v>1.05</v>
      </c>
      <c r="O122" s="53">
        <f t="shared" si="52"/>
        <v>1.05</v>
      </c>
      <c r="P122" s="60" t="e">
        <f t="shared" si="54"/>
        <v>#DIV/0!</v>
      </c>
      <c r="Q122" s="60">
        <f>N122-14.6</f>
        <v>-13.549999999999999</v>
      </c>
      <c r="R122" s="138">
        <f>N122/14.6</f>
        <v>0.07191780821917809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7479.6</v>
      </c>
      <c r="F123" s="38">
        <f>F119+F120+F121+F122+F118</f>
        <v>7985.28</v>
      </c>
      <c r="G123" s="62">
        <f t="shared" si="47"/>
        <v>505.6799999999994</v>
      </c>
      <c r="H123" s="72">
        <f t="shared" si="50"/>
        <v>106.76078934702389</v>
      </c>
      <c r="I123" s="61">
        <f t="shared" si="48"/>
        <v>-18002.105</v>
      </c>
      <c r="J123" s="61">
        <f>F123/D123*100</f>
        <v>30.72752414296398</v>
      </c>
      <c r="K123" s="61">
        <f>F123-6841.1</f>
        <v>1144.1799999999994</v>
      </c>
      <c r="L123" s="61">
        <f>F123/6841.1*100</f>
        <v>116.72508807063191</v>
      </c>
      <c r="M123" s="62">
        <f>M119+M120+M121+M122+M118</f>
        <v>7479.6</v>
      </c>
      <c r="N123" s="62">
        <f>N119+N120+N121+N122+N118</f>
        <v>7985.28</v>
      </c>
      <c r="O123" s="61">
        <f t="shared" si="52"/>
        <v>505.6799999999994</v>
      </c>
      <c r="P123" s="61">
        <f t="shared" si="54"/>
        <v>106.76078934702389</v>
      </c>
      <c r="Q123" s="61">
        <f>N123-6841.1</f>
        <v>1144.1799999999994</v>
      </c>
      <c r="R123" s="139">
        <f>N123/6841.1</f>
        <v>1.167250880706319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0.16</v>
      </c>
      <c r="F124" s="33">
        <v>0.16</v>
      </c>
      <c r="G124" s="49">
        <f t="shared" si="47"/>
        <v>0</v>
      </c>
      <c r="H124" s="40">
        <f t="shared" si="50"/>
        <v>100</v>
      </c>
      <c r="I124" s="60">
        <f t="shared" si="48"/>
        <v>-43.34</v>
      </c>
      <c r="J124" s="60">
        <f>F124/D124*100</f>
        <v>0.367816091954023</v>
      </c>
      <c r="K124" s="60">
        <f>F124-0.3</f>
        <v>-0.13999999999999999</v>
      </c>
      <c r="L124" s="60">
        <f>F124/0.3*100</f>
        <v>53.333333333333336</v>
      </c>
      <c r="M124" s="40">
        <f aca="true" t="shared" si="55" ref="M124:N128">E124</f>
        <v>0.16</v>
      </c>
      <c r="N124" s="40">
        <f t="shared" si="55"/>
        <v>0.16</v>
      </c>
      <c r="O124" s="53">
        <f t="shared" si="52"/>
        <v>0</v>
      </c>
      <c r="P124" s="60">
        <f t="shared" si="54"/>
        <v>100</v>
      </c>
      <c r="Q124" s="60">
        <f>N124-0.3</f>
        <v>-0.13999999999999999</v>
      </c>
      <c r="R124" s="138">
        <f>N124/0.3</f>
        <v>0.5333333333333333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47"/>
        <v>0</v>
      </c>
      <c r="H125" s="40" t="e">
        <f t="shared" si="50"/>
        <v>#DIV/0!</v>
      </c>
      <c r="I125" s="63"/>
      <c r="J125" s="63"/>
      <c r="K125" s="63"/>
      <c r="L125" s="60">
        <f>F125</f>
        <v>0</v>
      </c>
      <c r="M125" s="40">
        <f t="shared" si="55"/>
        <v>0</v>
      </c>
      <c r="N125" s="40">
        <f t="shared" si="55"/>
        <v>0</v>
      </c>
      <c r="O125" s="53">
        <f t="shared" si="52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F126-0</f>
        <v>8.76</v>
      </c>
      <c r="L126" s="60" t="e">
        <f>F126/0*100</f>
        <v>#DIV/0!</v>
      </c>
      <c r="M126" s="40">
        <f t="shared" si="55"/>
        <v>7.2</v>
      </c>
      <c r="N126" s="40">
        <f t="shared" si="55"/>
        <v>8.76</v>
      </c>
      <c r="O126" s="53"/>
      <c r="P126" s="63"/>
      <c r="Q126" s="63">
        <f>N126-0</f>
        <v>8.76</v>
      </c>
      <c r="R126" s="140" t="e">
        <f>N126/0</f>
        <v>#DIV/0!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17.4</v>
      </c>
      <c r="F127" s="33">
        <v>17.67</v>
      </c>
      <c r="G127" s="49">
        <f aca="true" t="shared" si="56" ref="G127:G134">F127-E127</f>
        <v>0.2700000000000031</v>
      </c>
      <c r="H127" s="40">
        <f>F127/E127*100</f>
        <v>101.55172413793106</v>
      </c>
      <c r="I127" s="60">
        <f aca="true" t="shared" si="57" ref="I127:I134">F127-D127</f>
        <v>-8682.33</v>
      </c>
      <c r="J127" s="60">
        <f>F127/D127*100</f>
        <v>0.2031034482758621</v>
      </c>
      <c r="K127" s="60">
        <f>F127-84.2</f>
        <v>-66.53</v>
      </c>
      <c r="L127" s="60">
        <f>F127/84.2*100</f>
        <v>20.985748218527316</v>
      </c>
      <c r="M127" s="40">
        <f t="shared" si="55"/>
        <v>17.4</v>
      </c>
      <c r="N127" s="40">
        <f t="shared" si="55"/>
        <v>17.67</v>
      </c>
      <c r="O127" s="53">
        <f aca="true" t="shared" si="58" ref="O127:O134">N127-M127</f>
        <v>0.2700000000000031</v>
      </c>
      <c r="P127" s="60">
        <f>N127/M127*100</f>
        <v>101.55172413793106</v>
      </c>
      <c r="Q127" s="60">
        <f>N127-84.2</f>
        <v>-66.53</v>
      </c>
      <c r="R127" s="138">
        <f>N127/84.2</f>
        <v>0.20985748218527317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-0.21</v>
      </c>
      <c r="G128" s="49">
        <f t="shared" si="56"/>
        <v>-0.21</v>
      </c>
      <c r="H128" s="40"/>
      <c r="I128" s="60">
        <f t="shared" si="57"/>
        <v>-0.21</v>
      </c>
      <c r="J128" s="60"/>
      <c r="K128" s="60">
        <f>F128-0.2</f>
        <v>-0.41000000000000003</v>
      </c>
      <c r="L128" s="60">
        <f>F128/0.2</f>
        <v>-1.0499999999999998</v>
      </c>
      <c r="M128" s="40">
        <f t="shared" si="55"/>
        <v>0</v>
      </c>
      <c r="N128" s="40">
        <f t="shared" si="55"/>
        <v>-0.21</v>
      </c>
      <c r="O128" s="53">
        <f t="shared" si="58"/>
        <v>-0.21</v>
      </c>
      <c r="P128" s="60"/>
      <c r="Q128" s="60">
        <f>N128-0.2</f>
        <v>-0.41000000000000003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24.759999999999998</v>
      </c>
      <c r="F129" s="38">
        <f>F127+F124+F128+F126</f>
        <v>26.380000000000003</v>
      </c>
      <c r="G129" s="62">
        <f t="shared" si="56"/>
        <v>1.6200000000000045</v>
      </c>
      <c r="H129" s="72">
        <f>F129/E129*100</f>
        <v>106.54281098546043</v>
      </c>
      <c r="I129" s="61">
        <f t="shared" si="57"/>
        <v>-8724.320000000002</v>
      </c>
      <c r="J129" s="61">
        <f>F129/D129*100</f>
        <v>0.30146159735792566</v>
      </c>
      <c r="K129" s="61">
        <f>F129-84.8</f>
        <v>-58.419999999999995</v>
      </c>
      <c r="L129" s="61">
        <f>G129/84.8*100</f>
        <v>1.9103773584905714</v>
      </c>
      <c r="M129" s="62">
        <f>M124+M127+M128+M126</f>
        <v>24.759999999999998</v>
      </c>
      <c r="N129" s="62">
        <f>N124+N127+N128+N126</f>
        <v>26.380000000000003</v>
      </c>
      <c r="O129" s="61">
        <f t="shared" si="58"/>
        <v>1.6200000000000045</v>
      </c>
      <c r="P129" s="61">
        <f>N129/M129*100</f>
        <v>106.54281098546043</v>
      </c>
      <c r="Q129" s="61">
        <f>N129-84.8</f>
        <v>-58.419999999999995</v>
      </c>
      <c r="R129" s="137">
        <f>N129/1784.5</f>
        <v>0.014782852339590924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0.45</v>
      </c>
      <c r="F130" s="33">
        <v>0.45</v>
      </c>
      <c r="G130" s="49">
        <f>F130-E130</f>
        <v>0</v>
      </c>
      <c r="H130" s="40">
        <f>F130/E130*100</f>
        <v>100</v>
      </c>
      <c r="I130" s="60">
        <f>F130-D130</f>
        <v>-29.55</v>
      </c>
      <c r="J130" s="60">
        <f>F130/D130*100</f>
        <v>1.5000000000000002</v>
      </c>
      <c r="K130" s="60">
        <f>F130-0</f>
        <v>0.45</v>
      </c>
      <c r="L130" s="60">
        <f>F130/34*100</f>
        <v>1.3235294117647058</v>
      </c>
      <c r="M130" s="40">
        <f aca="true" t="shared" si="59" ref="M130:N132">E130</f>
        <v>0.45</v>
      </c>
      <c r="N130" s="40">
        <f t="shared" si="59"/>
        <v>0.45</v>
      </c>
      <c r="O130" s="53">
        <f>N130-M130</f>
        <v>0</v>
      </c>
      <c r="P130" s="60">
        <f>N130/M130*100</f>
        <v>100</v>
      </c>
      <c r="Q130" s="60">
        <f>N130-0.8</f>
        <v>-0.35000000000000003</v>
      </c>
      <c r="R130" s="138">
        <f>N130/84.8</f>
        <v>0.005306603773584906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60"/>
      <c r="M131" s="40">
        <f t="shared" si="59"/>
        <v>0</v>
      </c>
      <c r="N131" s="40">
        <f t="shared" si="59"/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56"/>
        <v>0</v>
      </c>
      <c r="H132" s="40" t="e">
        <f>F132/E132*100</f>
        <v>#DIV/0!</v>
      </c>
      <c r="I132" s="60">
        <f t="shared" si="57"/>
        <v>0</v>
      </c>
      <c r="J132" s="60" t="e">
        <f>F132/D132*100</f>
        <v>#DIV/0!</v>
      </c>
      <c r="K132" s="60"/>
      <c r="L132" s="60">
        <f>F132/65.9*100</f>
        <v>0</v>
      </c>
      <c r="M132" s="40">
        <f t="shared" si="59"/>
        <v>0</v>
      </c>
      <c r="N132" s="40">
        <f t="shared" si="59"/>
        <v>0</v>
      </c>
      <c r="O132" s="53">
        <f t="shared" si="58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7597.410000000001</v>
      </c>
      <c r="F133" s="31">
        <f>F116+F130+F123+F129+F132+F131</f>
        <v>8104.96</v>
      </c>
      <c r="G133" s="50">
        <f t="shared" si="56"/>
        <v>507.5499999999993</v>
      </c>
      <c r="H133" s="51">
        <f>F133/E133*100</f>
        <v>106.68056614030306</v>
      </c>
      <c r="I133" s="36">
        <f t="shared" si="57"/>
        <v>-30602.725</v>
      </c>
      <c r="J133" s="36">
        <f>F133/D133*100</f>
        <v>20.938891075506067</v>
      </c>
      <c r="K133" s="36">
        <f>F133-7196.4</f>
        <v>908.5600000000004</v>
      </c>
      <c r="L133" s="36">
        <f>F133/7196.4*100</f>
        <v>112.62520148963371</v>
      </c>
      <c r="M133" s="31">
        <f>M116+M130+M123+M129+M132+M131</f>
        <v>7597.410000000001</v>
      </c>
      <c r="N133" s="31">
        <f>N116+N130+N123+N129+N132+N131</f>
        <v>8104.96</v>
      </c>
      <c r="O133" s="36">
        <f t="shared" si="58"/>
        <v>507.5499999999993</v>
      </c>
      <c r="P133" s="36">
        <f>N133/M133*100</f>
        <v>106.68056614030306</v>
      </c>
      <c r="Q133" s="36">
        <f>N133-7196.4</f>
        <v>908.5600000000004</v>
      </c>
      <c r="R133" s="136">
        <f>N133/7196.4</f>
        <v>1.126252014896337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44426.31</v>
      </c>
      <c r="F134" s="31">
        <f>F106+F133</f>
        <v>42872.96</v>
      </c>
      <c r="G134" s="50">
        <f t="shared" si="56"/>
        <v>-1553.3499999999985</v>
      </c>
      <c r="H134" s="51">
        <f>F134/E134*100</f>
        <v>96.50353585521732</v>
      </c>
      <c r="I134" s="36">
        <f t="shared" si="57"/>
        <v>-532874.625</v>
      </c>
      <c r="J134" s="36">
        <f>F134/D134*100</f>
        <v>7.446485424684847</v>
      </c>
      <c r="K134" s="36">
        <f>F134-41718.2</f>
        <v>1154.760000000002</v>
      </c>
      <c r="L134" s="36">
        <f>F134/41718.2*100</f>
        <v>102.76800053693593</v>
      </c>
      <c r="M134" s="22">
        <f>M106+M133</f>
        <v>44426.31</v>
      </c>
      <c r="N134" s="22">
        <f>N106+N133</f>
        <v>42872.96</v>
      </c>
      <c r="O134" s="36">
        <f t="shared" si="58"/>
        <v>-1553.3499999999985</v>
      </c>
      <c r="P134" s="36">
        <f>N134/M134*100</f>
        <v>96.50353585521732</v>
      </c>
      <c r="Q134" s="36">
        <f>N134-41718.2</f>
        <v>1154.760000000002</v>
      </c>
      <c r="R134" s="136">
        <f>N134/41718.2</f>
        <v>1.0276800053693593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8"/>
      <c r="H137" s="198"/>
      <c r="I137" s="198"/>
      <c r="J137" s="198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41670</v>
      </c>
      <c r="D138" s="39">
        <v>2716</v>
      </c>
      <c r="N138" s="193"/>
      <c r="O138" s="193"/>
    </row>
    <row r="139" spans="3:15" ht="15.75">
      <c r="C139" s="120">
        <v>41669</v>
      </c>
      <c r="D139" s="39">
        <v>4752.2</v>
      </c>
      <c r="F139" s="4" t="s">
        <v>166</v>
      </c>
      <c r="G139" s="189" t="s">
        <v>151</v>
      </c>
      <c r="H139" s="189"/>
      <c r="I139" s="115">
        <v>13825.22</v>
      </c>
      <c r="J139" s="190" t="s">
        <v>161</v>
      </c>
      <c r="K139" s="190"/>
      <c r="L139" s="190"/>
      <c r="M139" s="190"/>
      <c r="N139" s="193"/>
      <c r="O139" s="193"/>
    </row>
    <row r="140" spans="3:15" ht="15.75">
      <c r="C140" s="120">
        <v>41668</v>
      </c>
      <c r="D140" s="39">
        <v>1984.7</v>
      </c>
      <c r="G140" s="191" t="s">
        <v>155</v>
      </c>
      <c r="H140" s="191"/>
      <c r="I140" s="112">
        <v>0</v>
      </c>
      <c r="J140" s="192" t="s">
        <v>162</v>
      </c>
      <c r="K140" s="192"/>
      <c r="L140" s="192"/>
      <c r="M140" s="192"/>
      <c r="N140" s="193"/>
      <c r="O140" s="193"/>
    </row>
    <row r="141" spans="7:13" ht="15.75" customHeight="1">
      <c r="G141" s="189" t="s">
        <v>148</v>
      </c>
      <c r="H141" s="189"/>
      <c r="I141" s="112">
        <v>0</v>
      </c>
      <c r="J141" s="190" t="s">
        <v>163</v>
      </c>
      <c r="K141" s="190"/>
      <c r="L141" s="190"/>
      <c r="M141" s="190"/>
    </row>
    <row r="142" spans="2:13" ht="18.75" customHeight="1">
      <c r="B142" s="187" t="s">
        <v>160</v>
      </c>
      <c r="C142" s="188"/>
      <c r="D142" s="117">
        <v>111410.62</v>
      </c>
      <c r="E142" s="80"/>
      <c r="F142" s="100" t="s">
        <v>147</v>
      </c>
      <c r="G142" s="189" t="s">
        <v>149</v>
      </c>
      <c r="H142" s="189"/>
      <c r="I142" s="116">
        <v>97585.4</v>
      </c>
      <c r="J142" s="190" t="s">
        <v>164</v>
      </c>
      <c r="K142" s="190"/>
      <c r="L142" s="190"/>
      <c r="M142" s="190"/>
    </row>
    <row r="143" spans="7:12" ht="9.75" customHeight="1">
      <c r="G143" s="183"/>
      <c r="H143" s="183"/>
      <c r="I143" s="98"/>
      <c r="J143" s="99"/>
      <c r="K143" s="99"/>
      <c r="L143" s="99"/>
    </row>
    <row r="144" spans="2:12" ht="22.5" customHeight="1">
      <c r="B144" s="184" t="s">
        <v>169</v>
      </c>
      <c r="C144" s="185"/>
      <c r="D144" s="119">
        <v>0</v>
      </c>
      <c r="E144" s="77" t="s">
        <v>104</v>
      </c>
      <c r="G144" s="183"/>
      <c r="H144" s="183"/>
      <c r="I144" s="98"/>
      <c r="J144" s="99"/>
      <c r="K144" s="99"/>
      <c r="L144" s="99"/>
    </row>
    <row r="145" spans="4:15" ht="15.75">
      <c r="D145" s="114"/>
      <c r="N145" s="183"/>
      <c r="O145" s="183"/>
    </row>
    <row r="146" spans="4:15" ht="15.75">
      <c r="D146" s="113"/>
      <c r="I146" s="39"/>
      <c r="N146" s="186"/>
      <c r="O146" s="186"/>
    </row>
    <row r="147" spans="14:15" ht="15.75">
      <c r="N147" s="183"/>
      <c r="O147" s="183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" top="0.27" bottom="0.36" header="0.18" footer="0.29"/>
  <pageSetup fitToHeight="1" fitToWidth="1" horizontalDpi="600" verticalDpi="6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D10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49" sqref="F149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09" t="s">
        <v>276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126"/>
      <c r="R1" s="127"/>
    </row>
    <row r="2" spans="2:18" s="1" customFormat="1" ht="15.75" customHeight="1">
      <c r="B2" s="210"/>
      <c r="C2" s="210"/>
      <c r="D2" s="21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211"/>
      <c r="B3" s="176"/>
      <c r="C3" s="177" t="s">
        <v>0</v>
      </c>
      <c r="D3" s="178" t="s">
        <v>224</v>
      </c>
      <c r="E3" s="178"/>
      <c r="F3" s="179" t="s">
        <v>107</v>
      </c>
      <c r="G3" s="180"/>
      <c r="H3" s="180"/>
      <c r="I3" s="180"/>
      <c r="J3" s="180"/>
      <c r="K3" s="180"/>
      <c r="L3" s="212"/>
      <c r="M3" s="213" t="s">
        <v>225</v>
      </c>
      <c r="N3" s="215" t="s">
        <v>272</v>
      </c>
      <c r="O3" s="215"/>
      <c r="P3" s="215"/>
      <c r="Q3" s="215"/>
      <c r="R3" s="215"/>
    </row>
    <row r="4" spans="1:18" ht="22.5" customHeight="1">
      <c r="A4" s="211"/>
      <c r="B4" s="176"/>
      <c r="C4" s="177"/>
      <c r="D4" s="178"/>
      <c r="E4" s="178"/>
      <c r="F4" s="216" t="s">
        <v>116</v>
      </c>
      <c r="G4" s="203" t="s">
        <v>269</v>
      </c>
      <c r="H4" s="205" t="s">
        <v>270</v>
      </c>
      <c r="I4" s="201" t="s">
        <v>188</v>
      </c>
      <c r="J4" s="207" t="s">
        <v>189</v>
      </c>
      <c r="K4" s="194" t="s">
        <v>274</v>
      </c>
      <c r="L4" s="195"/>
      <c r="M4" s="214"/>
      <c r="N4" s="199" t="s">
        <v>277</v>
      </c>
      <c r="O4" s="201" t="s">
        <v>136</v>
      </c>
      <c r="P4" s="201" t="s">
        <v>135</v>
      </c>
      <c r="Q4" s="194" t="s">
        <v>275</v>
      </c>
      <c r="R4" s="195"/>
    </row>
    <row r="5" spans="1:18" ht="82.5" customHeight="1">
      <c r="A5" s="175"/>
      <c r="B5" s="176"/>
      <c r="C5" s="177"/>
      <c r="D5" s="150" t="s">
        <v>209</v>
      </c>
      <c r="E5" s="158" t="s">
        <v>268</v>
      </c>
      <c r="F5" s="217"/>
      <c r="G5" s="204"/>
      <c r="H5" s="206"/>
      <c r="I5" s="202"/>
      <c r="J5" s="208"/>
      <c r="K5" s="196"/>
      <c r="L5" s="197"/>
      <c r="M5" s="151" t="s">
        <v>271</v>
      </c>
      <c r="N5" s="200"/>
      <c r="O5" s="202"/>
      <c r="P5" s="202"/>
      <c r="Q5" s="196"/>
      <c r="R5" s="197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351358.83999999997</v>
      </c>
      <c r="F8" s="22">
        <f>F10+F19+F33+F56+F68+F30</f>
        <v>348290.05000000005</v>
      </c>
      <c r="G8" s="22">
        <f aca="true" t="shared" si="0" ref="G8:G30">F8-E8</f>
        <v>-3068.789999999921</v>
      </c>
      <c r="H8" s="51">
        <f>F8/E8*100</f>
        <v>99.1265937694922</v>
      </c>
      <c r="I8" s="36">
        <f aca="true" t="shared" si="1" ref="I8:I17">F8-D8</f>
        <v>-140186.24999999994</v>
      </c>
      <c r="J8" s="36">
        <f aca="true" t="shared" si="2" ref="J8:J14">F8/D8*100</f>
        <v>71.30132004357223</v>
      </c>
      <c r="K8" s="36">
        <f>F8-344287.2</f>
        <v>4002.850000000035</v>
      </c>
      <c r="L8" s="136">
        <f>F8/344287.2</f>
        <v>1.0116264850973258</v>
      </c>
      <c r="M8" s="22">
        <f>M10+M19+M33+M56+M68+M30</f>
        <v>39345.45</v>
      </c>
      <c r="N8" s="22">
        <f>N10+N19+N33+N56+N68+N30</f>
        <v>39354.28</v>
      </c>
      <c r="O8" s="36">
        <f aca="true" t="shared" si="3" ref="O8:O71">N8-M8</f>
        <v>8.830000000001746</v>
      </c>
      <c r="P8" s="36">
        <f>F8/M8*100</f>
        <v>885.2104881250566</v>
      </c>
      <c r="Q8" s="36">
        <f>N8-37510.4</f>
        <v>1843.8799999999974</v>
      </c>
      <c r="R8" s="134">
        <f>N8/37510.4</f>
        <v>1.0491565005971677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282613.68</v>
      </c>
      <c r="G9" s="22">
        <f t="shared" si="0"/>
        <v>282613.68</v>
      </c>
      <c r="H9" s="20"/>
      <c r="I9" s="56">
        <f t="shared" si="1"/>
        <v>-104399.52000000002</v>
      </c>
      <c r="J9" s="56">
        <f t="shared" si="2"/>
        <v>73.02429994635841</v>
      </c>
      <c r="K9" s="56"/>
      <c r="L9" s="135"/>
      <c r="M9" s="20">
        <f>M10+M17</f>
        <v>32323.5</v>
      </c>
      <c r="N9" s="20">
        <f>N10+N17</f>
        <v>32335.25</v>
      </c>
      <c r="O9" s="36">
        <f t="shared" si="3"/>
        <v>11.75</v>
      </c>
      <c r="P9" s="56">
        <f>F9/M9*100</f>
        <v>874.3288319643602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287459.5</v>
      </c>
      <c r="F10" s="169">
        <v>282613.68</v>
      </c>
      <c r="G10" s="49">
        <f t="shared" si="0"/>
        <v>-4845.820000000007</v>
      </c>
      <c r="H10" s="40">
        <f aca="true" t="shared" si="4" ref="H10:H17">F10/E10*100</f>
        <v>98.31425992183247</v>
      </c>
      <c r="I10" s="56">
        <f t="shared" si="1"/>
        <v>-104399.52000000002</v>
      </c>
      <c r="J10" s="56">
        <f t="shared" si="2"/>
        <v>73.02429994635841</v>
      </c>
      <c r="K10" s="141">
        <f>F10-272674.4</f>
        <v>9939.27999999997</v>
      </c>
      <c r="L10" s="142">
        <f>F10/272674.4</f>
        <v>1.0364510933186246</v>
      </c>
      <c r="M10" s="40">
        <f>E10-серпень!E10</f>
        <v>32323.5</v>
      </c>
      <c r="N10" s="40">
        <f>F10-серпень!F10</f>
        <v>32335.25</v>
      </c>
      <c r="O10" s="53">
        <f t="shared" si="3"/>
        <v>11.75</v>
      </c>
      <c r="P10" s="56">
        <f aca="true" t="shared" si="5" ref="P10:P17">N10/M10*100</f>
        <v>100.03635126146611</v>
      </c>
      <c r="Q10" s="141">
        <f>N10-29967.1</f>
        <v>2368.1500000000015</v>
      </c>
      <c r="R10" s="142">
        <f>N10/29967.1</f>
        <v>1.0790249974138306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E11-серпень!E11</f>
        <v>0</v>
      </c>
      <c r="N11" s="40">
        <f>F11-серпень!F11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E12-серпень!E12</f>
        <v>0</v>
      </c>
      <c r="N12" s="40">
        <f>F12-серпень!F12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E13-серпень!E13</f>
        <v>0</v>
      </c>
      <c r="N13" s="40">
        <f>F13-серпень!F13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E14-серпень!E14</f>
        <v>0</v>
      </c>
      <c r="N14" s="40">
        <f>F14-серпень!F14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E15-серпень!E15</f>
        <v>0</v>
      </c>
      <c r="N15" s="40">
        <f>F15-серпень!F15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E16-серпень!E16</f>
        <v>0</v>
      </c>
      <c r="N16" s="40">
        <f>F16-серпень!F16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E17-серпень!E17</f>
        <v>0</v>
      </c>
      <c r="N17" s="40">
        <f>F17-серпень!F17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E18-серпень!E18</f>
        <v>0</v>
      </c>
      <c r="N18" s="40">
        <f>F18-серпень!F18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1056.6</v>
      </c>
      <c r="F19" s="169">
        <v>-404.47</v>
      </c>
      <c r="G19" s="49">
        <f t="shared" si="0"/>
        <v>-1461.07</v>
      </c>
      <c r="H19" s="40">
        <f aca="true" t="shared" si="6" ref="H19:H29">F19/E19*100</f>
        <v>-38.28033314404695</v>
      </c>
      <c r="I19" s="56">
        <f aca="true" t="shared" si="7" ref="I19:I29">F19-D19</f>
        <v>-1404.47</v>
      </c>
      <c r="J19" s="56">
        <f aca="true" t="shared" si="8" ref="J19:J29">F19/D19*100</f>
        <v>-40.447</v>
      </c>
      <c r="K19" s="167">
        <f>F19-6479.1</f>
        <v>-6883.570000000001</v>
      </c>
      <c r="L19" s="168">
        <f>F19/6479.1</f>
        <v>-0.06242688027658162</v>
      </c>
      <c r="M19" s="40">
        <f>E19-серпень!E19</f>
        <v>11</v>
      </c>
      <c r="N19" s="40">
        <f>F19-серпень!F19</f>
        <v>-477.18</v>
      </c>
      <c r="O19" s="53">
        <f t="shared" si="3"/>
        <v>-488.18</v>
      </c>
      <c r="P19" s="56">
        <f aca="true" t="shared" si="9" ref="P19:P29">N19/M19*100</f>
        <v>-4338</v>
      </c>
      <c r="Q19" s="56">
        <f>N19-362</f>
        <v>-839.1800000000001</v>
      </c>
      <c r="R19" s="135">
        <f>N19/362</f>
        <v>-1.3181767955801105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169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E20-серпень!E20</f>
        <v>0</v>
      </c>
      <c r="N20" s="40">
        <f>F20-серпень!F20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169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E21-серпень!E21</f>
        <v>0</v>
      </c>
      <c r="N21" s="40">
        <f>F21-серпень!F21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169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E22-серпень!E22</f>
        <v>0</v>
      </c>
      <c r="N22" s="40">
        <f>F22-серпень!F22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169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E23-серпень!E23</f>
        <v>0</v>
      </c>
      <c r="N23" s="40">
        <f>F23-серпень!F23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169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E24-серпень!E24</f>
        <v>0</v>
      </c>
      <c r="N24" s="40">
        <f>F24-серпень!F24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169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E25-серпень!E25</f>
        <v>0</v>
      </c>
      <c r="N25" s="40">
        <f>F25-серпень!F25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169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E26-серпень!E26</f>
        <v>0</v>
      </c>
      <c r="N26" s="40">
        <f>F26-серпень!F26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169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E27-серпень!E27</f>
        <v>0</v>
      </c>
      <c r="N27" s="40">
        <f>F27-серпень!F27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169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E28-серпень!E28</f>
        <v>0</v>
      </c>
      <c r="N28" s="40">
        <f>F28-серпень!F28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796.6</v>
      </c>
      <c r="F29" s="170">
        <v>95.61</v>
      </c>
      <c r="G29" s="49">
        <f t="shared" si="0"/>
        <v>-700.99</v>
      </c>
      <c r="H29" s="40">
        <f t="shared" si="6"/>
        <v>12.002259603314085</v>
      </c>
      <c r="I29" s="56">
        <f t="shared" si="7"/>
        <v>-834.39</v>
      </c>
      <c r="J29" s="56">
        <f t="shared" si="8"/>
        <v>10.280645161290321</v>
      </c>
      <c r="K29" s="148">
        <f>F29-2860</f>
        <v>-2764.39</v>
      </c>
      <c r="L29" s="149">
        <f>F29/2860</f>
        <v>0.03343006993006993</v>
      </c>
      <c r="M29" s="40">
        <f>E29-серпень!E29</f>
        <v>11</v>
      </c>
      <c r="N29" s="40">
        <f>F29-серпень!F29</f>
        <v>-477.51</v>
      </c>
      <c r="O29" s="148">
        <f t="shared" si="3"/>
        <v>-488.51</v>
      </c>
      <c r="P29" s="145">
        <f t="shared" si="9"/>
        <v>-4341</v>
      </c>
      <c r="Q29" s="148">
        <f>N29-361.95</f>
        <v>-839.46</v>
      </c>
      <c r="R29" s="149">
        <f>N29/361.95</f>
        <v>-1.3192706174886035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27</v>
      </c>
      <c r="F30" s="169">
        <v>3.31</v>
      </c>
      <c r="G30" s="49">
        <f t="shared" si="0"/>
        <v>-23.69</v>
      </c>
      <c r="H30" s="40"/>
      <c r="I30" s="56"/>
      <c r="J30" s="56"/>
      <c r="K30" s="56">
        <f>F30-25.1</f>
        <v>-21.790000000000003</v>
      </c>
      <c r="L30" s="149">
        <f>F30/25.1</f>
        <v>0.13187250996015937</v>
      </c>
      <c r="M30" s="40">
        <f>E30-серпень!E30</f>
        <v>0</v>
      </c>
      <c r="N30" s="40">
        <f>F30-серпень!F30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E31-серпень!E31</f>
        <v>0</v>
      </c>
      <c r="N31" s="40">
        <f>F31-серпень!F31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E32-серпень!E32</f>
        <v>0</v>
      </c>
      <c r="N32" s="40">
        <f>F32-серпень!F32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57702.14</v>
      </c>
      <c r="F33" s="169">
        <v>61232.46</v>
      </c>
      <c r="G33" s="49">
        <f aca="true" t="shared" si="14" ref="G33:G72">F33-E33</f>
        <v>3530.3199999999997</v>
      </c>
      <c r="H33" s="40">
        <f aca="true" t="shared" si="15" ref="H33:H67">F33/E33*100</f>
        <v>106.11817863254291</v>
      </c>
      <c r="I33" s="56">
        <f>F33-D33</f>
        <v>-32333.54</v>
      </c>
      <c r="J33" s="56">
        <f aca="true" t="shared" si="16" ref="J33:J72">F33/D33*100</f>
        <v>65.44306692602014</v>
      </c>
      <c r="K33" s="141">
        <f>F33-60413.2</f>
        <v>819.260000000002</v>
      </c>
      <c r="L33" s="142">
        <f>F33/60413.2</f>
        <v>1.0135609436348347</v>
      </c>
      <c r="M33" s="40">
        <f>E33-серпень!E33</f>
        <v>6401.3499999999985</v>
      </c>
      <c r="N33" s="40">
        <f>F33-серпень!F33</f>
        <v>6939.720000000001</v>
      </c>
      <c r="O33" s="53">
        <f t="shared" si="3"/>
        <v>538.3700000000026</v>
      </c>
      <c r="P33" s="56">
        <f aca="true" t="shared" si="17" ref="P33:P67">N33/M33*100</f>
        <v>108.41025721136953</v>
      </c>
      <c r="Q33" s="141">
        <f>N33-6624.9</f>
        <v>314.8200000000015</v>
      </c>
      <c r="R33" s="142">
        <f>N33/6624.9</f>
        <v>1.047520717293846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169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E34-серпень!E34</f>
        <v>0</v>
      </c>
      <c r="N34" s="40">
        <f>F34-серпень!F34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169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E35-серпень!E35</f>
        <v>0</v>
      </c>
      <c r="N35" s="40">
        <f>F35-серпень!F35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169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E36-серпень!E36</f>
        <v>0</v>
      </c>
      <c r="N36" s="40">
        <f>F36-серпень!F36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169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E37-серпень!E37</f>
        <v>0</v>
      </c>
      <c r="N37" s="40">
        <f>F37-серпень!F37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169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E38-серпень!E38</f>
        <v>0</v>
      </c>
      <c r="N38" s="40">
        <f>F38-серпень!F38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169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E39-серпень!E39</f>
        <v>0</v>
      </c>
      <c r="N39" s="40">
        <f>F39-серпень!F39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169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E40-серпень!E40</f>
        <v>0</v>
      </c>
      <c r="N40" s="40">
        <f>F40-серпень!F40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169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E41-серпень!E41</f>
        <v>0</v>
      </c>
      <c r="N41" s="40">
        <f>F41-серпень!F41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169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E42-серпень!E42</f>
        <v>0</v>
      </c>
      <c r="N42" s="40">
        <f>F42-серпень!F42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169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E43-серпень!E43</f>
        <v>0</v>
      </c>
      <c r="N43" s="40">
        <f>F43-серпень!F43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169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E44-серпень!E44</f>
        <v>0</v>
      </c>
      <c r="N44" s="40">
        <f>F44-серпень!F44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169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E45-серпень!E45</f>
        <v>0</v>
      </c>
      <c r="N45" s="40">
        <f>F45-серпень!F45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169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E46-серпень!E46</f>
        <v>0</v>
      </c>
      <c r="N46" s="40">
        <f>F46-серпень!F46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169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E47-серпень!E47</f>
        <v>0</v>
      </c>
      <c r="N47" s="40">
        <f>F47-серпень!F47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169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E48-серпень!E48</f>
        <v>0</v>
      </c>
      <c r="N48" s="40">
        <f>F48-серпень!F48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169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E49-серпень!E49</f>
        <v>0</v>
      </c>
      <c r="N49" s="40">
        <f>F49-серпень!F49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169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E50-серпень!E50</f>
        <v>0</v>
      </c>
      <c r="N50" s="40">
        <f>F50-серпень!F50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169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E51-серпень!E51</f>
        <v>0</v>
      </c>
      <c r="N51" s="40">
        <f>F51-серпень!F51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169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E52-серпень!E52</f>
        <v>0</v>
      </c>
      <c r="N52" s="40">
        <f>F52-серпень!F52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169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E53-серпень!E53</f>
        <v>0</v>
      </c>
      <c r="N53" s="40">
        <f>F53-серпень!F53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169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E54-серпень!E54</f>
        <v>0</v>
      </c>
      <c r="N54" s="40">
        <f>F54-серпень!F54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42471.84</v>
      </c>
      <c r="F55" s="170">
        <v>45421.4</v>
      </c>
      <c r="G55" s="144">
        <f t="shared" si="14"/>
        <v>2949.560000000005</v>
      </c>
      <c r="H55" s="146">
        <f t="shared" si="15"/>
        <v>106.94474268126835</v>
      </c>
      <c r="I55" s="145">
        <f t="shared" si="18"/>
        <v>-24844.6</v>
      </c>
      <c r="J55" s="145">
        <f t="shared" si="16"/>
        <v>64.64207440298296</v>
      </c>
      <c r="K55" s="148">
        <f>F55-43813.51</f>
        <v>1607.8899999999994</v>
      </c>
      <c r="L55" s="149">
        <f>F55/43813.51</f>
        <v>1.0366984977921194</v>
      </c>
      <c r="M55" s="40">
        <f>E55-серпень!E55</f>
        <v>4681.3499999999985</v>
      </c>
      <c r="N55" s="40">
        <f>F55-серпень!F55</f>
        <v>5281.130000000005</v>
      </c>
      <c r="O55" s="148">
        <f t="shared" si="3"/>
        <v>599.7800000000061</v>
      </c>
      <c r="P55" s="148">
        <f t="shared" si="17"/>
        <v>112.81211616307276</v>
      </c>
      <c r="Q55" s="160">
        <f>N55-4961.43</f>
        <v>319.70000000000437</v>
      </c>
      <c r="R55" s="161">
        <f>N55/7961.43</f>
        <v>0.6633393749615338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5113.5</v>
      </c>
      <c r="F56" s="169">
        <f>1.51+4842.02</f>
        <v>4843.530000000001</v>
      </c>
      <c r="G56" s="49">
        <f t="shared" si="14"/>
        <v>-269.96999999999935</v>
      </c>
      <c r="H56" s="40">
        <f t="shared" si="15"/>
        <v>94.72044587855677</v>
      </c>
      <c r="I56" s="56">
        <f t="shared" si="18"/>
        <v>-2016.4699999999993</v>
      </c>
      <c r="J56" s="56">
        <f t="shared" si="16"/>
        <v>70.60539358600583</v>
      </c>
      <c r="K56" s="56">
        <f>F56-4694.5</f>
        <v>149.03000000000065</v>
      </c>
      <c r="L56" s="135">
        <f>F56/4694.5</f>
        <v>1.0317456598146768</v>
      </c>
      <c r="M56" s="40">
        <f>E56-серпень!E56</f>
        <v>609.6000000000004</v>
      </c>
      <c r="N56" s="40">
        <f>F56-серпень!F56</f>
        <v>556.2400000000007</v>
      </c>
      <c r="O56" s="53">
        <f t="shared" si="3"/>
        <v>-53.35999999999967</v>
      </c>
      <c r="P56" s="56">
        <f t="shared" si="17"/>
        <v>91.24671916010504</v>
      </c>
      <c r="Q56" s="56">
        <f>N56-556.2</f>
        <v>0.04000000000064574</v>
      </c>
      <c r="R56" s="135">
        <f>N56/556.2</f>
        <v>1.0000719165767722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169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E57-серпень!E57</f>
        <v>0</v>
      </c>
      <c r="N57" s="40">
        <f>F57-серпень!F57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169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E58-серпень!E58</f>
        <v>0</v>
      </c>
      <c r="N58" s="40">
        <f>F58-серпень!F58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169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E59-серпень!E59</f>
        <v>0</v>
      </c>
      <c r="N59" s="40">
        <f>F59-серпень!F59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169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E60-серпень!E60</f>
        <v>0</v>
      </c>
      <c r="N60" s="40">
        <f>F60-серпень!F60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169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E61-серпень!E61</f>
        <v>0</v>
      </c>
      <c r="N61" s="40">
        <f>F61-серпень!F61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169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E62-серпень!E62</f>
        <v>0</v>
      </c>
      <c r="N62" s="40">
        <f>F62-серпень!F62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169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E63-серпень!E63</f>
        <v>0</v>
      </c>
      <c r="N63" s="40">
        <f>F63-серпень!F63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169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E64-серпень!E64</f>
        <v>0</v>
      </c>
      <c r="N64" s="40">
        <f>F64-серпень!F64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169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E65-серпень!E65</f>
        <v>0</v>
      </c>
      <c r="N65" s="40">
        <f>F65-серпень!F65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169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E66-серпень!E66</f>
        <v>0</v>
      </c>
      <c r="N66" s="40">
        <f>F66-серпень!F66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169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E67-серпень!E67</f>
        <v>0</v>
      </c>
      <c r="N67" s="40">
        <f>F67-серпень!F67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169">
        <v>1.54</v>
      </c>
      <c r="G68" s="49">
        <f t="shared" si="14"/>
        <v>1.44</v>
      </c>
      <c r="H68" s="40"/>
      <c r="I68" s="56">
        <f t="shared" si="18"/>
        <v>1.44</v>
      </c>
      <c r="J68" s="56">
        <f t="shared" si="16"/>
        <v>1540</v>
      </c>
      <c r="K68" s="56">
        <f>F68-1</f>
        <v>0.54</v>
      </c>
      <c r="L68" s="135"/>
      <c r="M68" s="40">
        <f>E68-серпень!E68</f>
        <v>0</v>
      </c>
      <c r="N68" s="40">
        <f>F68-серпень!F68</f>
        <v>0.25</v>
      </c>
      <c r="O68" s="53">
        <f t="shared" si="3"/>
        <v>0.25</v>
      </c>
      <c r="P68" s="56"/>
      <c r="Q68" s="56">
        <f>N68-0.3</f>
        <v>-0.04999999999999999</v>
      </c>
      <c r="R68" s="135">
        <f>N68/0.3</f>
        <v>0.8333333333333334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12180</v>
      </c>
      <c r="F74" s="22">
        <f>F77+F86+F88+F89+F94+F95+F96+F97+F99+F104+F87+F103</f>
        <v>9759.433</v>
      </c>
      <c r="G74" s="50">
        <f aca="true" t="shared" si="24" ref="G74:G92">F74-E74</f>
        <v>-2420.566999999999</v>
      </c>
      <c r="H74" s="51">
        <f aca="true" t="shared" si="25" ref="H74:H87">F74/E74*100</f>
        <v>80.12670771756979</v>
      </c>
      <c r="I74" s="36">
        <f aca="true" t="shared" si="26" ref="I74:I92">F74-D74</f>
        <v>-8598.866999999998</v>
      </c>
      <c r="J74" s="36">
        <f aca="true" t="shared" si="27" ref="J74:J92">F74/D74*100</f>
        <v>53.16087546232495</v>
      </c>
      <c r="K74" s="36">
        <f>F74-14585.4</f>
        <v>-4825.966999999999</v>
      </c>
      <c r="L74" s="136">
        <f>F74/14585.4</f>
        <v>0.6691234385070002</v>
      </c>
      <c r="M74" s="22">
        <f>M77+M86+M88+M89+M94+M95+M96+M97+M99+M87+M104</f>
        <v>1580.5</v>
      </c>
      <c r="N74" s="22">
        <f>N77+N86+N88+N89+N94+N95+N96+N97+N99+N32+N104+N87+N103</f>
        <v>1149.703</v>
      </c>
      <c r="O74" s="55">
        <f aca="true" t="shared" si="28" ref="O74:O92">N74-M74</f>
        <v>-430.797</v>
      </c>
      <c r="P74" s="36">
        <f>N74/M74*100</f>
        <v>72.74299272382157</v>
      </c>
      <c r="Q74" s="36">
        <f>N74-1622.9</f>
        <v>-473.1970000000001</v>
      </c>
      <c r="R74" s="136">
        <f>N74/1622.9</f>
        <v>0.7084250415922114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110</v>
      </c>
      <c r="F77" s="169">
        <v>123.45</v>
      </c>
      <c r="G77" s="49">
        <f t="shared" si="24"/>
        <v>13.450000000000003</v>
      </c>
      <c r="H77" s="40">
        <f t="shared" si="25"/>
        <v>112.22727272727273</v>
      </c>
      <c r="I77" s="56">
        <f t="shared" si="26"/>
        <v>-376.55</v>
      </c>
      <c r="J77" s="56">
        <f t="shared" si="27"/>
        <v>24.69</v>
      </c>
      <c r="K77" s="167">
        <f>F77-1694.5</f>
        <v>-1571.05</v>
      </c>
      <c r="L77" s="168">
        <f>F77/1694.5</f>
        <v>0.07285334907052228</v>
      </c>
      <c r="M77" s="40">
        <f>E77-серпень!E77</f>
        <v>0</v>
      </c>
      <c r="N77" s="40">
        <f>F77-серпень!F77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N77-0</f>
        <v>0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169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E78-серпень!E78</f>
        <v>0</v>
      </c>
      <c r="N78" s="40">
        <f>F78-серпень!F78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169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E79-серпень!E79</f>
        <v>0</v>
      </c>
      <c r="N79" s="40">
        <f>F79-серпень!F79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169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E80-серпень!E80</f>
        <v>0</v>
      </c>
      <c r="N80" s="40">
        <f>F80-серпень!F80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169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E81-серпень!E81</f>
        <v>0</v>
      </c>
      <c r="N81" s="40">
        <f>F81-серпень!F81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169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E82-серпень!E82</f>
        <v>0</v>
      </c>
      <c r="N82" s="40">
        <f>F82-серпень!F82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169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E83-серпень!E83</f>
        <v>0</v>
      </c>
      <c r="N83" s="40">
        <f>F83-серпень!F83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169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E84-серпень!E84</f>
        <v>0</v>
      </c>
      <c r="N84" s="40">
        <f>F84-серпень!F84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169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E85-серпень!E85</f>
        <v>0</v>
      </c>
      <c r="N85" s="40">
        <f>F85-серпень!F85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2600</v>
      </c>
      <c r="F86" s="169">
        <v>0</v>
      </c>
      <c r="G86" s="49">
        <f t="shared" si="24"/>
        <v>-2600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7">
        <f>F86-2641.6</f>
        <v>-2641.6</v>
      </c>
      <c r="L86" s="168">
        <f>F86/2641.6</f>
        <v>0</v>
      </c>
      <c r="M86" s="40">
        <f>E86-серпень!E86</f>
        <v>480</v>
      </c>
      <c r="N86" s="40">
        <f>F86-серпень!F86</f>
        <v>0</v>
      </c>
      <c r="O86" s="53">
        <f t="shared" si="28"/>
        <v>-480</v>
      </c>
      <c r="P86" s="56">
        <f t="shared" si="29"/>
        <v>0</v>
      </c>
      <c r="Q86" s="56">
        <f>N86-489.7</f>
        <v>-489.7</v>
      </c>
      <c r="R86" s="135">
        <f>N86/489.7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169">
        <v>272.25</v>
      </c>
      <c r="G87" s="49">
        <f t="shared" si="24"/>
        <v>52.25</v>
      </c>
      <c r="H87" s="40">
        <f t="shared" si="25"/>
        <v>123.75</v>
      </c>
      <c r="I87" s="56">
        <f t="shared" si="26"/>
        <v>-227.75</v>
      </c>
      <c r="J87" s="56">
        <f t="shared" si="27"/>
        <v>54.449999999999996</v>
      </c>
      <c r="K87" s="56">
        <f>F87-210.3</f>
        <v>61.94999999999999</v>
      </c>
      <c r="L87" s="135">
        <f>F87/210.3</f>
        <v>1.2945791726105562</v>
      </c>
      <c r="M87" s="40">
        <f>E87-серпень!E87</f>
        <v>0</v>
      </c>
      <c r="N87" s="40">
        <f>F87-серпень!F87</f>
        <v>16.47999999999999</v>
      </c>
      <c r="O87" s="53">
        <f t="shared" si="28"/>
        <v>16.47999999999999</v>
      </c>
      <c r="P87" s="56" t="e">
        <f t="shared" si="29"/>
        <v>#DIV/0!</v>
      </c>
      <c r="Q87" s="56">
        <f>N87-12.4</f>
        <v>4.079999999999989</v>
      </c>
      <c r="R87" s="135">
        <f>N87/12.4</f>
        <v>1.3290322580645153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3.5</v>
      </c>
      <c r="F88" s="169">
        <v>5.6</v>
      </c>
      <c r="G88" s="49">
        <f t="shared" si="24"/>
        <v>2.0999999999999996</v>
      </c>
      <c r="H88" s="40">
        <f>F88/E88*100</f>
        <v>160</v>
      </c>
      <c r="I88" s="56">
        <f t="shared" si="26"/>
        <v>0.5</v>
      </c>
      <c r="J88" s="56">
        <f t="shared" si="27"/>
        <v>109.80392156862746</v>
      </c>
      <c r="K88" s="56">
        <f>F88-3</f>
        <v>2.5999999999999996</v>
      </c>
      <c r="L88" s="135"/>
      <c r="M88" s="40">
        <f>E88-серпень!E88</f>
        <v>0.5</v>
      </c>
      <c r="N88" s="40">
        <f>F88-серпень!F88</f>
        <v>0</v>
      </c>
      <c r="O88" s="53">
        <f t="shared" si="28"/>
        <v>-0.5</v>
      </c>
      <c r="P88" s="56">
        <f>N88/M88*100</f>
        <v>0</v>
      </c>
      <c r="Q88" s="56">
        <f>N88-2.5</f>
        <v>-2.5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129</v>
      </c>
      <c r="F89" s="169">
        <v>97.95</v>
      </c>
      <c r="G89" s="49">
        <f t="shared" si="24"/>
        <v>-31.049999999999997</v>
      </c>
      <c r="H89" s="40">
        <f>F89/E89*100</f>
        <v>75.93023255813954</v>
      </c>
      <c r="I89" s="56">
        <f t="shared" si="26"/>
        <v>-77.05</v>
      </c>
      <c r="J89" s="56">
        <f t="shared" si="27"/>
        <v>55.971428571428575</v>
      </c>
      <c r="K89" s="56">
        <f>F89-123.2</f>
        <v>-25.25</v>
      </c>
      <c r="L89" s="135">
        <f>F89/123.2</f>
        <v>0.7950487012987013</v>
      </c>
      <c r="M89" s="40">
        <f>E89-серпень!E89</f>
        <v>15</v>
      </c>
      <c r="N89" s="40">
        <f>F89-серпень!F89</f>
        <v>15.590000000000003</v>
      </c>
      <c r="O89" s="53">
        <f t="shared" si="28"/>
        <v>0.5900000000000034</v>
      </c>
      <c r="P89" s="56">
        <f>N89/M89*100</f>
        <v>103.93333333333337</v>
      </c>
      <c r="Q89" s="56">
        <f>N89-14.8</f>
        <v>0.7900000000000027</v>
      </c>
      <c r="R89" s="135">
        <f>N89/14.8</f>
        <v>1.0533783783783786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169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E90-серпень!E90</f>
        <v>0</v>
      </c>
      <c r="N90" s="40">
        <f>F90-серпень!F90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169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E91-серпень!E91</f>
        <v>0</v>
      </c>
      <c r="N91" s="40">
        <f>F91-серпень!F91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169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E92-серпень!E92</f>
        <v>0</v>
      </c>
      <c r="N92" s="40">
        <f>F92-серпень!F92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E93-серпень!E93</f>
        <v>0</v>
      </c>
      <c r="N93" s="40">
        <f>F93-серпень!F93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169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E94-серпень!E94</f>
        <v>0</v>
      </c>
      <c r="N94" s="40">
        <f>F94-серпень!F94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5256.5</v>
      </c>
      <c r="F95" s="169">
        <v>5365.42</v>
      </c>
      <c r="G95" s="49">
        <f t="shared" si="31"/>
        <v>108.92000000000007</v>
      </c>
      <c r="H95" s="40">
        <f>F95/E95*100</f>
        <v>102.07210120802816</v>
      </c>
      <c r="I95" s="56">
        <f t="shared" si="32"/>
        <v>-1634.58</v>
      </c>
      <c r="J95" s="56">
        <f>F95/D95*100</f>
        <v>76.64885714285714</v>
      </c>
      <c r="K95" s="56">
        <f>F95-5517.5</f>
        <v>-152.07999999999993</v>
      </c>
      <c r="L95" s="135">
        <f>F95/5517.5</f>
        <v>0.9724367920253738</v>
      </c>
      <c r="M95" s="40">
        <f>E95-серпень!E95</f>
        <v>575</v>
      </c>
      <c r="N95" s="40">
        <f>F95-серпень!F95</f>
        <v>629.7399999999998</v>
      </c>
      <c r="O95" s="53">
        <f t="shared" si="33"/>
        <v>54.73999999999978</v>
      </c>
      <c r="P95" s="56">
        <f>N95/M95*100</f>
        <v>109.51999999999997</v>
      </c>
      <c r="Q95" s="56">
        <f>N95-569.2</f>
        <v>60.539999999999736</v>
      </c>
      <c r="R95" s="135">
        <f>N95/569.2</f>
        <v>1.1063598032326067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794.5</v>
      </c>
      <c r="F96" s="169">
        <v>782.38</v>
      </c>
      <c r="G96" s="49">
        <f t="shared" si="31"/>
        <v>-12.120000000000005</v>
      </c>
      <c r="H96" s="40">
        <f>F96/E96*100</f>
        <v>98.4745122718691</v>
      </c>
      <c r="I96" s="56">
        <f t="shared" si="32"/>
        <v>-417.62</v>
      </c>
      <c r="J96" s="56">
        <f>F96/D96*100</f>
        <v>65.19833333333334</v>
      </c>
      <c r="K96" s="56">
        <f>F96-795.5</f>
        <v>-13.120000000000005</v>
      </c>
      <c r="L96" s="135">
        <f>F96/795.5</f>
        <v>0.983507228158391</v>
      </c>
      <c r="M96" s="40">
        <f>E96-серпень!E96</f>
        <v>100</v>
      </c>
      <c r="N96" s="40">
        <f>F96-серпень!F96</f>
        <v>96.72000000000003</v>
      </c>
      <c r="O96" s="53">
        <f t="shared" si="33"/>
        <v>-3.2799999999999727</v>
      </c>
      <c r="P96" s="56">
        <f>N96/M96*100</f>
        <v>96.72000000000003</v>
      </c>
      <c r="Q96" s="56">
        <f>N96-102.1</f>
        <v>-5.379999999999967</v>
      </c>
      <c r="R96" s="135">
        <f>N96/102.1</f>
        <v>0.9473065621939278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169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E97-серпень!E97</f>
        <v>0</v>
      </c>
      <c r="N97" s="40">
        <f>F97-серпень!F97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169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E98-серпень!E98</f>
        <v>0</v>
      </c>
      <c r="N98" s="40">
        <f>F98-серпень!F98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3007</v>
      </c>
      <c r="F99" s="169">
        <v>3093.833</v>
      </c>
      <c r="G99" s="49">
        <f t="shared" si="31"/>
        <v>86.83300000000008</v>
      </c>
      <c r="H99" s="40">
        <f>F99/E99*100</f>
        <v>102.88769537745262</v>
      </c>
      <c r="I99" s="56">
        <f t="shared" si="32"/>
        <v>-1478.8669999999997</v>
      </c>
      <c r="J99" s="56">
        <f>F99/D99*100</f>
        <v>67.65877927701358</v>
      </c>
      <c r="K99" s="56">
        <f>F99-3411.3</f>
        <v>-317.4670000000001</v>
      </c>
      <c r="L99" s="135">
        <f>F99/3411.3</f>
        <v>0.9069366517163544</v>
      </c>
      <c r="M99" s="40">
        <f>E99-серпень!E99</f>
        <v>410</v>
      </c>
      <c r="N99" s="40">
        <f>F99-серпень!F99</f>
        <v>391.17300000000023</v>
      </c>
      <c r="O99" s="53">
        <f t="shared" si="33"/>
        <v>-18.82699999999977</v>
      </c>
      <c r="P99" s="56">
        <f>N99/M99*100</f>
        <v>95.40804878048786</v>
      </c>
      <c r="Q99" s="56">
        <f>N99-432.2</f>
        <v>-41.02699999999976</v>
      </c>
      <c r="R99" s="135">
        <f>N99/432.2</f>
        <v>0.9050740397963911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169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E100-серпень!E100</f>
        <v>0</v>
      </c>
      <c r="N100" s="40">
        <f>F100-серпень!F100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169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E101-серпень!E101</f>
        <v>0</v>
      </c>
      <c r="N101" s="40">
        <f>F101-серпень!F101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70">
        <v>757.2</v>
      </c>
      <c r="G102" s="144"/>
      <c r="H102" s="146"/>
      <c r="I102" s="145"/>
      <c r="J102" s="145"/>
      <c r="K102" s="148">
        <f>F102-545.2</f>
        <v>212</v>
      </c>
      <c r="L102" s="149">
        <f>F102/545.2</f>
        <v>1.388848129126926</v>
      </c>
      <c r="M102" s="40">
        <f>E102-серпень!E102</f>
        <v>0</v>
      </c>
      <c r="N102" s="40">
        <f>F102-серпень!F102</f>
        <v>121.40000000000009</v>
      </c>
      <c r="O102" s="53"/>
      <c r="P102" s="60"/>
      <c r="Q102" s="60">
        <f>N102-124.1</f>
        <v>-2.6999999999999034</v>
      </c>
      <c r="R102" s="138">
        <f>N102/124.1</f>
        <v>0.9782433521353755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71">
        <v>4.74</v>
      </c>
      <c r="G103" s="144"/>
      <c r="H103" s="146"/>
      <c r="I103" s="145"/>
      <c r="J103" s="145"/>
      <c r="K103" s="148"/>
      <c r="L103" s="149"/>
      <c r="M103" s="40">
        <f>E103-серпень!E103</f>
        <v>0</v>
      </c>
      <c r="N103" s="40">
        <f>F103-серпень!F103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169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-45.6</v>
      </c>
      <c r="K104" s="56">
        <f>F104-59.1</f>
        <v>-45.82</v>
      </c>
      <c r="L104" s="135">
        <f>F104/59.1</f>
        <v>0.22470389170896785</v>
      </c>
      <c r="M104" s="40">
        <f>E104-серпень!E104</f>
        <v>0</v>
      </c>
      <c r="N104" s="40">
        <f>F104-серпень!F104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24.2</v>
      </c>
      <c r="F105" s="169">
        <v>19.9</v>
      </c>
      <c r="G105" s="49">
        <f>F105-E105</f>
        <v>-4.300000000000001</v>
      </c>
      <c r="H105" s="40">
        <f>F105/E105*100</f>
        <v>82.23140495867767</v>
      </c>
      <c r="I105" s="56">
        <f t="shared" si="34"/>
        <v>-25.1</v>
      </c>
      <c r="J105" s="56">
        <f aca="true" t="shared" si="36" ref="J105:J110">F105/D105*100</f>
        <v>44.22222222222222</v>
      </c>
      <c r="K105" s="56">
        <f>F105-13.4</f>
        <v>6.499999999999998</v>
      </c>
      <c r="L105" s="135">
        <f>F105/13.4</f>
        <v>1.4850746268656716</v>
      </c>
      <c r="M105" s="40">
        <f>E105-серпень!E105</f>
        <v>3</v>
      </c>
      <c r="N105" s="40">
        <f>F105-серпень!F105</f>
        <v>2.669999999999998</v>
      </c>
      <c r="O105" s="53">
        <f t="shared" si="35"/>
        <v>-0.33000000000000185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169">
        <v>0.37</v>
      </c>
      <c r="G106" s="49"/>
      <c r="H106" s="40"/>
      <c r="I106" s="56"/>
      <c r="J106" s="56"/>
      <c r="K106" s="56"/>
      <c r="L106" s="135"/>
      <c r="M106" s="40">
        <f>E106-серпень!E106</f>
        <v>0</v>
      </c>
      <c r="N106" s="40">
        <f>F106-серпень!F106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152">
        <f>E8+E74+E105+E106</f>
        <v>363563.04</v>
      </c>
      <c r="F107" s="152">
        <f>F8+F74+F105+F106</f>
        <v>358069.7530000001</v>
      </c>
      <c r="G107" s="181">
        <f>F107-E107</f>
        <v>-5493.286999999895</v>
      </c>
      <c r="H107" s="51">
        <f>F107/E107*100</f>
        <v>98.489041405309</v>
      </c>
      <c r="I107" s="36">
        <f t="shared" si="34"/>
        <v>-148809.8469999999</v>
      </c>
      <c r="J107" s="36">
        <f t="shared" si="36"/>
        <v>70.64197355742866</v>
      </c>
      <c r="K107" s="36">
        <f>F107-358888.5</f>
        <v>-818.7469999999157</v>
      </c>
      <c r="L107" s="136">
        <f>F107/358888.5</f>
        <v>0.9977186591378662</v>
      </c>
      <c r="M107" s="22">
        <f>M8+M74+M105+M106</f>
        <v>40928.95</v>
      </c>
      <c r="N107" s="22">
        <f>N8+N74+N105+N106</f>
        <v>40506.653</v>
      </c>
      <c r="O107" s="55">
        <f t="shared" si="35"/>
        <v>-422.29699999999866</v>
      </c>
      <c r="P107" s="36">
        <f>N107/M107*100</f>
        <v>98.96821931664506</v>
      </c>
      <c r="Q107" s="36">
        <f>N107-39133.2</f>
        <v>1373.4530000000013</v>
      </c>
      <c r="R107" s="136">
        <f>N107/39133.2</f>
        <v>1.0350968742653297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153">
        <f>E10-E18+E96</f>
        <v>288254</v>
      </c>
      <c r="F108" s="153">
        <f>F10-F18+F96</f>
        <v>283396.06</v>
      </c>
      <c r="G108" s="153">
        <f>G10-G18+G96</f>
        <v>-4857.940000000007</v>
      </c>
      <c r="H108" s="72">
        <f>F108/E108*100</f>
        <v>98.3147016173236</v>
      </c>
      <c r="I108" s="52">
        <f t="shared" si="34"/>
        <v>-104817.14000000001</v>
      </c>
      <c r="J108" s="52">
        <f t="shared" si="36"/>
        <v>73.00010921833673</v>
      </c>
      <c r="K108" s="52">
        <f>F108-273558.9</f>
        <v>9837.159999999974</v>
      </c>
      <c r="L108" s="137">
        <f>F108/273558.9</f>
        <v>1.035959934039799</v>
      </c>
      <c r="M108" s="71">
        <f>M10-M18+M96</f>
        <v>32423.5</v>
      </c>
      <c r="N108" s="71">
        <f>N10-N18+N96</f>
        <v>32431.97</v>
      </c>
      <c r="O108" s="53">
        <f t="shared" si="35"/>
        <v>8.470000000001164</v>
      </c>
      <c r="P108" s="52">
        <f>N108/M108*100</f>
        <v>100.02612302805065</v>
      </c>
      <c r="Q108" s="52">
        <f>N108-30069.2</f>
        <v>2362.7700000000004</v>
      </c>
      <c r="R108" s="137">
        <f>N108/30069.2</f>
        <v>1.0785777473294933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153">
        <f>E107-E108</f>
        <v>75309.03999999998</v>
      </c>
      <c r="F109" s="153">
        <f>F107-F108</f>
        <v>74673.69300000009</v>
      </c>
      <c r="G109" s="182">
        <f>F109-E109</f>
        <v>-635.3469999998924</v>
      </c>
      <c r="H109" s="72">
        <f>F109/E109*100</f>
        <v>99.1563469671106</v>
      </c>
      <c r="I109" s="52">
        <f t="shared" si="34"/>
        <v>-43992.70699999988</v>
      </c>
      <c r="J109" s="52">
        <f t="shared" si="36"/>
        <v>62.927410791934456</v>
      </c>
      <c r="K109" s="52">
        <f>F109-85329.7</f>
        <v>-10656.00699999991</v>
      </c>
      <c r="L109" s="137">
        <f>F109/85329.7</f>
        <v>0.8751196007955037</v>
      </c>
      <c r="M109" s="71">
        <f>M107-M108</f>
        <v>8505.449999999997</v>
      </c>
      <c r="N109" s="71">
        <f>N107-N108</f>
        <v>8074.682999999997</v>
      </c>
      <c r="O109" s="53">
        <f t="shared" si="35"/>
        <v>-430.7669999999998</v>
      </c>
      <c r="P109" s="52">
        <f>N109/M109*100</f>
        <v>94.93540024337337</v>
      </c>
      <c r="Q109" s="52">
        <f>N109-9064</f>
        <v>-989.3170000000027</v>
      </c>
      <c r="R109" s="137">
        <f>N109/9064</f>
        <v>0.8908520520741392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282884.1</v>
      </c>
      <c r="F110" s="71">
        <f>F108</f>
        <v>283396.06</v>
      </c>
      <c r="G110" s="111">
        <f>F110-E110</f>
        <v>511.96000000002095</v>
      </c>
      <c r="H110" s="72">
        <f>F110/E110*100</f>
        <v>100.18097871177632</v>
      </c>
      <c r="I110" s="81">
        <f t="shared" si="34"/>
        <v>-104817.14000000001</v>
      </c>
      <c r="J110" s="52">
        <f t="shared" si="36"/>
        <v>73.00010921833673</v>
      </c>
      <c r="K110" s="52"/>
      <c r="L110" s="137"/>
      <c r="M110" s="72">
        <f>E110-серпень!E110</f>
        <v>32423.49999999997</v>
      </c>
      <c r="N110" s="71">
        <f>N108</f>
        <v>32431.97</v>
      </c>
      <c r="O110" s="63">
        <f t="shared" si="35"/>
        <v>8.470000000030268</v>
      </c>
      <c r="P110" s="52">
        <f>N110/M110*100</f>
        <v>100.02612302805073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273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172">
        <v>-0.14</v>
      </c>
      <c r="G114" s="49">
        <f aca="true" t="shared" si="37" ref="G114:G126">F114-E114</f>
        <v>-0.14</v>
      </c>
      <c r="H114" s="40"/>
      <c r="I114" s="60">
        <f aca="true" t="shared" si="38" ref="I114:I125">F114-D114</f>
        <v>-0.14</v>
      </c>
      <c r="J114" s="60"/>
      <c r="K114" s="60">
        <f>F114-21.5</f>
        <v>-21.64</v>
      </c>
      <c r="L114" s="138">
        <f>F114/21.5</f>
        <v>-0.0065116279069767444</v>
      </c>
      <c r="M114" s="40">
        <f>E114-серпень!E114</f>
        <v>0</v>
      </c>
      <c r="N114" s="40">
        <f>F114-серпень!F114</f>
        <v>0.82</v>
      </c>
      <c r="O114" s="53"/>
      <c r="P114" s="60"/>
      <c r="Q114" s="60">
        <f>N114-0.9</f>
        <v>-0.08000000000000007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2679.6</v>
      </c>
      <c r="F115" s="174">
        <v>1122.93</v>
      </c>
      <c r="G115" s="49">
        <f t="shared" si="37"/>
        <v>-1556.6699999999998</v>
      </c>
      <c r="H115" s="40">
        <f aca="true" t="shared" si="39" ref="H115:H126">F115/E115*100</f>
        <v>41.906627854903725</v>
      </c>
      <c r="I115" s="60">
        <f t="shared" si="38"/>
        <v>-2548.5699999999997</v>
      </c>
      <c r="J115" s="60">
        <f aca="true" t="shared" si="40" ref="J115:J121">F115/D115*100</f>
        <v>30.585046983521725</v>
      </c>
      <c r="K115" s="60">
        <f>F115-3077.6</f>
        <v>-1954.6699999999998</v>
      </c>
      <c r="L115" s="138">
        <f>F115/3077.6</f>
        <v>0.36487197816480377</v>
      </c>
      <c r="M115" s="40">
        <f>E115-серпень!E115</f>
        <v>327.5</v>
      </c>
      <c r="N115" s="40">
        <f>F115-серпень!F115</f>
        <v>137.41000000000008</v>
      </c>
      <c r="O115" s="53">
        <f aca="true" t="shared" si="41" ref="O115:O126">N115-M115</f>
        <v>-190.08999999999992</v>
      </c>
      <c r="P115" s="60">
        <f>N115/M115*100</f>
        <v>41.95725190839697</v>
      </c>
      <c r="Q115" s="60">
        <f>N115-150.5</f>
        <v>-13.089999999999918</v>
      </c>
      <c r="R115" s="138">
        <f>N115/150.5</f>
        <v>0.913023255813954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200.5</v>
      </c>
      <c r="F116" s="172">
        <v>237.16</v>
      </c>
      <c r="G116" s="49">
        <f t="shared" si="37"/>
        <v>36.66</v>
      </c>
      <c r="H116" s="40">
        <f t="shared" si="39"/>
        <v>118.28428927680798</v>
      </c>
      <c r="I116" s="60">
        <f t="shared" si="38"/>
        <v>-30.940000000000026</v>
      </c>
      <c r="J116" s="60">
        <f t="shared" si="40"/>
        <v>88.45953002610966</v>
      </c>
      <c r="K116" s="60">
        <f>F116-200.1</f>
        <v>37.06</v>
      </c>
      <c r="L116" s="138">
        <f>F116/200.1</f>
        <v>1.185207396301849</v>
      </c>
      <c r="M116" s="40">
        <f>E116-серпень!E116</f>
        <v>22</v>
      </c>
      <c r="N116" s="40">
        <f>F116-серпень!F116</f>
        <v>29.840000000000003</v>
      </c>
      <c r="O116" s="53">
        <f t="shared" si="41"/>
        <v>7.840000000000003</v>
      </c>
      <c r="P116" s="60">
        <f>N116/M116*100</f>
        <v>135.63636363636365</v>
      </c>
      <c r="Q116" s="60">
        <f>N116-24.4</f>
        <v>5.440000000000005</v>
      </c>
      <c r="R116" s="138">
        <f>N116/24.4</f>
        <v>1.2229508196721313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2880.1</v>
      </c>
      <c r="F117" s="173">
        <f>SUM(F114:F116)</f>
        <v>1359.95</v>
      </c>
      <c r="G117" s="62">
        <f t="shared" si="37"/>
        <v>-1520.1499999999999</v>
      </c>
      <c r="H117" s="72">
        <f t="shared" si="39"/>
        <v>47.21884656782751</v>
      </c>
      <c r="I117" s="61">
        <f t="shared" si="38"/>
        <v>-2579.6499999999996</v>
      </c>
      <c r="J117" s="61">
        <f t="shared" si="40"/>
        <v>34.52000203066301</v>
      </c>
      <c r="K117" s="61">
        <f>F117-3299.2</f>
        <v>-1939.2499999999998</v>
      </c>
      <c r="L117" s="139">
        <f>F117/3299.2</f>
        <v>0.41220598933074687</v>
      </c>
      <c r="M117" s="62">
        <f>M115+M116+M114</f>
        <v>349.5</v>
      </c>
      <c r="N117" s="38">
        <f>SUM(N114:N116)</f>
        <v>168.07000000000008</v>
      </c>
      <c r="O117" s="61">
        <f t="shared" si="41"/>
        <v>-181.42999999999992</v>
      </c>
      <c r="P117" s="61">
        <f>N117/M117*100</f>
        <v>48.08869814020031</v>
      </c>
      <c r="Q117" s="61">
        <f>N117-175.8</f>
        <v>-7.729999999999933</v>
      </c>
      <c r="R117" s="139">
        <f>N117/175.8</f>
        <v>0.9560295790671222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187.5</v>
      </c>
      <c r="F119" s="174">
        <v>314.15</v>
      </c>
      <c r="G119" s="49">
        <f t="shared" si="37"/>
        <v>126.64999999999998</v>
      </c>
      <c r="H119" s="40">
        <f t="shared" si="39"/>
        <v>167.54666666666665</v>
      </c>
      <c r="I119" s="60">
        <f t="shared" si="38"/>
        <v>46.94999999999999</v>
      </c>
      <c r="J119" s="60">
        <f t="shared" si="40"/>
        <v>117.57110778443113</v>
      </c>
      <c r="K119" s="60">
        <f>F119-174.4</f>
        <v>139.74999999999997</v>
      </c>
      <c r="L119" s="138">
        <f>F119/174.4</f>
        <v>1.8013188073394493</v>
      </c>
      <c r="M119" s="40">
        <f>E119-серпень!E119</f>
        <v>5</v>
      </c>
      <c r="N119" s="40">
        <f>F119-серпень!F119</f>
        <v>25.349999999999966</v>
      </c>
      <c r="O119" s="53">
        <f>N119-M119</f>
        <v>20.349999999999966</v>
      </c>
      <c r="P119" s="60">
        <f>N119/M119*100</f>
        <v>506.9999999999993</v>
      </c>
      <c r="Q119" s="60">
        <f>N119-1.4</f>
        <v>23.949999999999967</v>
      </c>
      <c r="R119" s="138">
        <f>N119/1.4</f>
        <v>18.107142857142833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52512.6</v>
      </c>
      <c r="F120" s="174">
        <v>59536.46</v>
      </c>
      <c r="G120" s="49">
        <f t="shared" si="37"/>
        <v>7023.860000000001</v>
      </c>
      <c r="H120" s="40">
        <f t="shared" si="39"/>
        <v>113.37557081538525</v>
      </c>
      <c r="I120" s="53">
        <f t="shared" si="38"/>
        <v>-12439.530000000006</v>
      </c>
      <c r="J120" s="60">
        <f t="shared" si="40"/>
        <v>82.7171116368111</v>
      </c>
      <c r="K120" s="60">
        <f>F120-50659.1</f>
        <v>8877.36</v>
      </c>
      <c r="L120" s="138">
        <f>F120/50659.1</f>
        <v>1.1752372229273713</v>
      </c>
      <c r="M120" s="40">
        <f>E120-серпень!E120</f>
        <v>3100</v>
      </c>
      <c r="N120" s="40">
        <f>F120-серпень!F120</f>
        <v>3421.8300000000017</v>
      </c>
      <c r="O120" s="53">
        <f t="shared" si="41"/>
        <v>321.83000000000175</v>
      </c>
      <c r="P120" s="60">
        <f aca="true" t="shared" si="42" ref="P120:P125">N120/M120*100</f>
        <v>110.38161290322586</v>
      </c>
      <c r="Q120" s="60">
        <f>N120-3034.9</f>
        <v>386.93000000000166</v>
      </c>
      <c r="R120" s="138">
        <f>N120/3034.9</f>
        <v>1.127493492372072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1723</v>
      </c>
      <c r="F121" s="174">
        <v>1754.73</v>
      </c>
      <c r="G121" s="49">
        <f t="shared" si="37"/>
        <v>31.730000000000018</v>
      </c>
      <c r="H121" s="40">
        <f t="shared" si="39"/>
        <v>101.84155542658155</v>
      </c>
      <c r="I121" s="60">
        <f t="shared" si="38"/>
        <v>-2995.27</v>
      </c>
      <c r="J121" s="60">
        <f t="shared" si="40"/>
        <v>36.94168421052632</v>
      </c>
      <c r="K121" s="60">
        <f>F121-1289.6</f>
        <v>465.1300000000001</v>
      </c>
      <c r="L121" s="138">
        <f>F121/1289.6</f>
        <v>1.3606777295285362</v>
      </c>
      <c r="M121" s="40">
        <f>E121-серпень!E121</f>
        <v>0</v>
      </c>
      <c r="N121" s="40">
        <f>F121-серпень!F121</f>
        <v>0.049999999999954525</v>
      </c>
      <c r="O121" s="53">
        <f t="shared" si="41"/>
        <v>0.049999999999954525</v>
      </c>
      <c r="P121" s="60" t="e">
        <f t="shared" si="42"/>
        <v>#DIV/0!</v>
      </c>
      <c r="Q121" s="60">
        <f>N121-167.3</f>
        <v>-167.25000000000006</v>
      </c>
      <c r="R121" s="138">
        <f>N121/167.3</f>
        <v>0.00029886431560044544</v>
      </c>
    </row>
    <row r="122" spans="2:18" ht="27" customHeight="1">
      <c r="B122" s="30" t="s">
        <v>112</v>
      </c>
      <c r="C122" s="106">
        <v>33010000</v>
      </c>
      <c r="D122" s="33">
        <f>23078-0.87</f>
        <v>23077.13</v>
      </c>
      <c r="E122" s="33">
        <f>12928.3-0.87</f>
        <v>12927.429999999998</v>
      </c>
      <c r="F122" s="174">
        <v>2393.24</v>
      </c>
      <c r="G122" s="49">
        <f t="shared" si="37"/>
        <v>-10534.189999999999</v>
      </c>
      <c r="H122" s="40">
        <f t="shared" si="39"/>
        <v>18.51288307111313</v>
      </c>
      <c r="I122" s="60">
        <f t="shared" si="38"/>
        <v>-20683.89</v>
      </c>
      <c r="J122" s="60">
        <f>F122/D122*100</f>
        <v>10.370613676830697</v>
      </c>
      <c r="K122" s="60">
        <f>F122-22303.9</f>
        <v>-19910.660000000003</v>
      </c>
      <c r="L122" s="138">
        <f>F122/22303.9</f>
        <v>0.10730141365411429</v>
      </c>
      <c r="M122" s="40">
        <f>E122-серпень!E122</f>
        <v>3313.4299999999985</v>
      </c>
      <c r="N122" s="40">
        <f>F122-серпень!F122</f>
        <v>101.44999999999982</v>
      </c>
      <c r="O122" s="53">
        <f t="shared" si="41"/>
        <v>-3211.9799999999987</v>
      </c>
      <c r="P122" s="60">
        <f t="shared" si="42"/>
        <v>3.0617818997232433</v>
      </c>
      <c r="Q122" s="60">
        <f>N122-7566.7</f>
        <v>-7465.25</v>
      </c>
      <c r="R122" s="138">
        <f>N122/7566.7</f>
        <v>0.013407429923216174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1431.22</v>
      </c>
      <c r="F123" s="174">
        <v>1074.91</v>
      </c>
      <c r="G123" s="49">
        <f t="shared" si="37"/>
        <v>-356.30999999999995</v>
      </c>
      <c r="H123" s="40">
        <f t="shared" si="39"/>
        <v>75.10445633794944</v>
      </c>
      <c r="I123" s="60">
        <f t="shared" si="38"/>
        <v>-925.0899999999999</v>
      </c>
      <c r="J123" s="60">
        <f>F123/D123*100</f>
        <v>53.7455</v>
      </c>
      <c r="K123" s="60">
        <f>F123-1660.3</f>
        <v>-585.3899999999999</v>
      </c>
      <c r="L123" s="138">
        <f>F123/1660.3</f>
        <v>0.647419141119075</v>
      </c>
      <c r="M123" s="40">
        <f>E123-серпень!E123</f>
        <v>189.58999999999992</v>
      </c>
      <c r="N123" s="40">
        <f>F123-серпень!F123</f>
        <v>210.29000000000008</v>
      </c>
      <c r="O123" s="53">
        <f t="shared" si="41"/>
        <v>20.70000000000016</v>
      </c>
      <c r="P123" s="60">
        <f t="shared" si="42"/>
        <v>110.9182973785538</v>
      </c>
      <c r="Q123" s="60">
        <f>N123-20.2</f>
        <v>190.0900000000001</v>
      </c>
      <c r="R123" s="138">
        <f>N123/20.2</f>
        <v>10.410396039603965</v>
      </c>
    </row>
    <row r="124" spans="2:18" ht="34.5">
      <c r="B124" s="37" t="s">
        <v>144</v>
      </c>
      <c r="C124" s="95"/>
      <c r="D124" s="38">
        <f>D120+D121+D122+D123+D119</f>
        <v>102070.32</v>
      </c>
      <c r="E124" s="38">
        <f>E120+E121+E122+E123+E119</f>
        <v>68781.75</v>
      </c>
      <c r="F124" s="173">
        <f>F120+F121+F122+F123+F119</f>
        <v>65073.490000000005</v>
      </c>
      <c r="G124" s="62">
        <f t="shared" si="37"/>
        <v>-3708.2599999999948</v>
      </c>
      <c r="H124" s="72">
        <f t="shared" si="39"/>
        <v>94.60865709290618</v>
      </c>
      <c r="I124" s="61">
        <f t="shared" si="38"/>
        <v>-36996.83</v>
      </c>
      <c r="J124" s="61">
        <f>F124/D124*100</f>
        <v>63.75358674294349</v>
      </c>
      <c r="K124" s="61">
        <f>F124-76087.4</f>
        <v>-11013.909999999989</v>
      </c>
      <c r="L124" s="139">
        <f>F124/76087.4</f>
        <v>0.8552465979912576</v>
      </c>
      <c r="M124" s="62">
        <f>M120+M121+M122+M123+M119</f>
        <v>6608.019999999999</v>
      </c>
      <c r="N124" s="62">
        <f>N120+N121+N122+N123+N119</f>
        <v>3758.9700000000016</v>
      </c>
      <c r="O124" s="61">
        <f t="shared" si="41"/>
        <v>-2849.049999999997</v>
      </c>
      <c r="P124" s="61">
        <f t="shared" si="42"/>
        <v>56.8849670551845</v>
      </c>
      <c r="Q124" s="61">
        <f>N124-10790.5</f>
        <v>-7031.529999999999</v>
      </c>
      <c r="R124" s="139">
        <f>N124/10790.5</f>
        <v>0.3483592048561236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27.16</v>
      </c>
      <c r="F125" s="174">
        <v>24.17</v>
      </c>
      <c r="G125" s="49">
        <f t="shared" si="37"/>
        <v>-2.9899999999999984</v>
      </c>
      <c r="H125" s="40">
        <f t="shared" si="39"/>
        <v>88.99116347569957</v>
      </c>
      <c r="I125" s="60">
        <f t="shared" si="38"/>
        <v>-19.33</v>
      </c>
      <c r="J125" s="60">
        <f>F125/D125*100</f>
        <v>55.5632183908046</v>
      </c>
      <c r="K125" s="60">
        <f>F125-111.8</f>
        <v>-87.63</v>
      </c>
      <c r="L125" s="138">
        <f>F125/111.8</f>
        <v>0.21618962432915922</v>
      </c>
      <c r="M125" s="40">
        <f>E125-серпень!E125</f>
        <v>4</v>
      </c>
      <c r="N125" s="40">
        <f>F125-серпень!F125</f>
        <v>10.000000000000002</v>
      </c>
      <c r="O125" s="53">
        <f t="shared" si="41"/>
        <v>6.000000000000002</v>
      </c>
      <c r="P125" s="60">
        <f t="shared" si="42"/>
        <v>250.00000000000006</v>
      </c>
      <c r="Q125" s="60">
        <f>N125-0</f>
        <v>10.000000000000002</v>
      </c>
      <c r="R125" s="138" t="e">
        <f>N125/0</f>
        <v>#DIV/0!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174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E126-серпень!E126</f>
        <v>0</v>
      </c>
      <c r="N126" s="40">
        <f>F126-серпень!F126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174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E127-серпень!E127</f>
        <v>0</v>
      </c>
      <c r="N127" s="40">
        <f>F127-серпень!F127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6718.5</v>
      </c>
      <c r="F128" s="174">
        <v>7368.88</v>
      </c>
      <c r="G128" s="49">
        <f aca="true" t="shared" si="43" ref="G128:G135">F128-E128</f>
        <v>650.3800000000001</v>
      </c>
      <c r="H128" s="40">
        <f>F128/E128*100</f>
        <v>109.6804346208231</v>
      </c>
      <c r="I128" s="60">
        <f aca="true" t="shared" si="44" ref="I128:I135">F128-D128</f>
        <v>-1331.12</v>
      </c>
      <c r="J128" s="60">
        <f>F128/D128*100</f>
        <v>84.69977011494252</v>
      </c>
      <c r="K128" s="60">
        <f>F128-8715.2</f>
        <v>-1346.3200000000006</v>
      </c>
      <c r="L128" s="138">
        <f>F128/8715.2</f>
        <v>0.8455204699834771</v>
      </c>
      <c r="M128" s="40">
        <f>E128-серпень!E128</f>
        <v>1</v>
      </c>
      <c r="N128" s="40">
        <f>F128-серпень!F128</f>
        <v>5.359999999999673</v>
      </c>
      <c r="O128" s="53">
        <f aca="true" t="shared" si="45" ref="O128:O135">N128-M128</f>
        <v>4.359999999999673</v>
      </c>
      <c r="P128" s="60">
        <f>N128/M128*100</f>
        <v>535.9999999999673</v>
      </c>
      <c r="Q128" s="60">
        <f>N128-35</f>
        <v>-29.640000000000327</v>
      </c>
      <c r="R128" s="162">
        <f>N128/35</f>
        <v>0.15314285714284778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174">
        <v>1.08</v>
      </c>
      <c r="G129" s="49">
        <f t="shared" si="43"/>
        <v>1.08</v>
      </c>
      <c r="H129" s="40"/>
      <c r="I129" s="60">
        <f t="shared" si="44"/>
        <v>1.08</v>
      </c>
      <c r="J129" s="60"/>
      <c r="K129" s="60">
        <f>F129-1</f>
        <v>0.08000000000000007</v>
      </c>
      <c r="L129" s="138">
        <f>F129/1</f>
        <v>1.08</v>
      </c>
      <c r="M129" s="40">
        <f>E129-серпень!E129</f>
        <v>0</v>
      </c>
      <c r="N129" s="40">
        <f>F129-серпень!F129</f>
        <v>0.2300000000000001</v>
      </c>
      <c r="O129" s="53">
        <f t="shared" si="45"/>
        <v>0.2300000000000001</v>
      </c>
      <c r="P129" s="60"/>
      <c r="Q129" s="60">
        <f>N129-0.7</f>
        <v>-0.46999999999999986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6752.86</v>
      </c>
      <c r="F130" s="173">
        <f>F128+F125+F129+F127</f>
        <v>7413.61</v>
      </c>
      <c r="G130" s="62">
        <f t="shared" si="43"/>
        <v>660.75</v>
      </c>
      <c r="H130" s="72">
        <f>F130/E130*100</f>
        <v>109.78474305701585</v>
      </c>
      <c r="I130" s="61">
        <f t="shared" si="44"/>
        <v>-1337.090000000001</v>
      </c>
      <c r="J130" s="61">
        <f>F130/D130*100</f>
        <v>84.72019381306637</v>
      </c>
      <c r="K130" s="61">
        <f>F130-8836.4</f>
        <v>-1422.79</v>
      </c>
      <c r="L130" s="139">
        <f>G130/8836.4</f>
        <v>0.07477592684803766</v>
      </c>
      <c r="M130" s="62">
        <f>M125+M128+M129+M127</f>
        <v>5</v>
      </c>
      <c r="N130" s="62">
        <f>N125+N128+N129+N127</f>
        <v>15.589999999999675</v>
      </c>
      <c r="O130" s="61">
        <f t="shared" si="45"/>
        <v>10.589999999999675</v>
      </c>
      <c r="P130" s="61">
        <f>N130/M130*100</f>
        <v>311.79999999999353</v>
      </c>
      <c r="Q130" s="61">
        <f>N130-35.8</f>
        <v>-20.21000000000032</v>
      </c>
      <c r="R130" s="137">
        <f>N130/35.8</f>
        <v>0.43547486033518645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23.45</v>
      </c>
      <c r="F131" s="174">
        <v>31.86</v>
      </c>
      <c r="G131" s="49">
        <f>F131-E131</f>
        <v>8.41</v>
      </c>
      <c r="H131" s="40">
        <f>F131/E131*100</f>
        <v>135.863539445629</v>
      </c>
      <c r="I131" s="60">
        <f>F131-D131</f>
        <v>1.8599999999999994</v>
      </c>
      <c r="J131" s="60">
        <f>F131/D131*100</f>
        <v>106.2</v>
      </c>
      <c r="K131" s="60">
        <f>F131-25.4</f>
        <v>6.460000000000001</v>
      </c>
      <c r="L131" s="138">
        <f>F131/25.4</f>
        <v>1.2543307086614173</v>
      </c>
      <c r="M131" s="40">
        <f>E131-серпень!E131</f>
        <v>7</v>
      </c>
      <c r="N131" s="40">
        <f>F131-серпень!F131</f>
        <v>9.239999999999998</v>
      </c>
      <c r="O131" s="53">
        <f>N131-M131</f>
        <v>2.2399999999999984</v>
      </c>
      <c r="P131" s="60">
        <f>N131/M131*100</f>
        <v>131.99999999999997</v>
      </c>
      <c r="Q131" s="60">
        <f>N131-7.6</f>
        <v>1.6399999999999988</v>
      </c>
      <c r="R131" s="138">
        <f>N131/7.6</f>
        <v>1.2157894736842103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E132-серпень!E132</f>
        <v>0</v>
      </c>
      <c r="N132" s="40">
        <f>F132-серпень!F132</f>
        <v>0</v>
      </c>
      <c r="O132" s="53"/>
      <c r="P132" s="60"/>
      <c r="Q132" s="60">
        <f>N132-0.4</f>
        <v>-0.4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174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E133-серпень!E133</f>
        <v>0</v>
      </c>
      <c r="N133" s="40">
        <f>F133-серпень!F133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114790.62000000001</v>
      </c>
      <c r="E134" s="31">
        <f>E117+E131+E124+E130+E133+E132</f>
        <v>78438.16</v>
      </c>
      <c r="F134" s="31">
        <f>F117+F131+F124+F130+F133+F132</f>
        <v>73878.91</v>
      </c>
      <c r="G134" s="50">
        <f t="shared" si="43"/>
        <v>-4559.25</v>
      </c>
      <c r="H134" s="51">
        <f>F134/E134*100</f>
        <v>94.187459267275</v>
      </c>
      <c r="I134" s="36">
        <f t="shared" si="44"/>
        <v>-40911.71000000001</v>
      </c>
      <c r="J134" s="36">
        <f>F134/D134*100</f>
        <v>64.359709878734</v>
      </c>
      <c r="K134" s="36">
        <f>F134-88248.3</f>
        <v>-14369.39</v>
      </c>
      <c r="L134" s="136">
        <f>F134/88248.3</f>
        <v>0.8371709143405596</v>
      </c>
      <c r="M134" s="31">
        <f>M117+M131+M124+M130+M133+M132</f>
        <v>6969.519999999999</v>
      </c>
      <c r="N134" s="31">
        <f>N117+N131+N124+N130+N133+N132</f>
        <v>3951.8700000000013</v>
      </c>
      <c r="O134" s="36">
        <f t="shared" si="45"/>
        <v>-3017.6499999999974</v>
      </c>
      <c r="P134" s="36">
        <f>N134/M134*100</f>
        <v>56.70218322065224</v>
      </c>
      <c r="Q134" s="36">
        <f>N134-11009.7</f>
        <v>-7057.83</v>
      </c>
      <c r="R134" s="136">
        <f>N134/11009.7</f>
        <v>0.358944385405597</v>
      </c>
    </row>
    <row r="135" spans="2:18" ht="30.75" customHeight="1">
      <c r="B135" s="28" t="s">
        <v>115</v>
      </c>
      <c r="C135" s="96"/>
      <c r="D135" s="31">
        <f>D107+D134</f>
        <v>621670.22</v>
      </c>
      <c r="E135" s="31">
        <f>E107+E134</f>
        <v>442001.19999999995</v>
      </c>
      <c r="F135" s="31">
        <f>F107+F134</f>
        <v>431948.66300000006</v>
      </c>
      <c r="G135" s="50">
        <f t="shared" si="43"/>
        <v>-10052.536999999895</v>
      </c>
      <c r="H135" s="51">
        <f>F135/E135*100</f>
        <v>97.7256765366248</v>
      </c>
      <c r="I135" s="36">
        <f t="shared" si="44"/>
        <v>-189721.5569999999</v>
      </c>
      <c r="J135" s="36">
        <f>F135/D135*100</f>
        <v>69.48196151329238</v>
      </c>
      <c r="K135" s="36">
        <f>F135-447136.8</f>
        <v>-15188.13699999993</v>
      </c>
      <c r="L135" s="136">
        <f>F135/447136.8</f>
        <v>0.9660324603119226</v>
      </c>
      <c r="M135" s="22">
        <f>M107+M134</f>
        <v>47898.469999999994</v>
      </c>
      <c r="N135" s="22">
        <f>N107+N134</f>
        <v>44458.523</v>
      </c>
      <c r="O135" s="36">
        <f t="shared" si="45"/>
        <v>-3439.946999999993</v>
      </c>
      <c r="P135" s="36">
        <f>N135/M135*100</f>
        <v>92.81825285859863</v>
      </c>
      <c r="Q135" s="36">
        <f>N135-50142.9</f>
        <v>-5684.377</v>
      </c>
      <c r="R135" s="136">
        <f>N135/50142.9</f>
        <v>0.8866364530172767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198"/>
      <c r="H138" s="198"/>
      <c r="I138" s="198"/>
      <c r="J138" s="198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41912</v>
      </c>
      <c r="D139" s="39">
        <v>4136.8</v>
      </c>
      <c r="N139" s="193"/>
      <c r="O139" s="193"/>
    </row>
    <row r="140" spans="3:15" ht="15.75">
      <c r="C140" s="120">
        <v>41911</v>
      </c>
      <c r="D140" s="39">
        <v>4937.4</v>
      </c>
      <c r="F140" s="4" t="s">
        <v>166</v>
      </c>
      <c r="G140" s="189" t="s">
        <v>151</v>
      </c>
      <c r="H140" s="189"/>
      <c r="I140" s="115">
        <f>9020596.53/1000</f>
        <v>9020.596529999999</v>
      </c>
      <c r="J140" s="190" t="s">
        <v>161</v>
      </c>
      <c r="K140" s="190"/>
      <c r="L140" s="190"/>
      <c r="M140" s="190"/>
      <c r="N140" s="193"/>
      <c r="O140" s="193"/>
    </row>
    <row r="141" spans="3:15" ht="15.75">
      <c r="C141" s="120">
        <v>41908</v>
      </c>
      <c r="D141" s="39">
        <v>1468</v>
      </c>
      <c r="G141" s="191" t="s">
        <v>155</v>
      </c>
      <c r="H141" s="191"/>
      <c r="I141" s="112">
        <v>0</v>
      </c>
      <c r="J141" s="192" t="s">
        <v>162</v>
      </c>
      <c r="K141" s="192"/>
      <c r="L141" s="192"/>
      <c r="M141" s="192"/>
      <c r="N141" s="193"/>
      <c r="O141" s="193"/>
    </row>
    <row r="142" spans="7:13" ht="15.75" customHeight="1">
      <c r="G142" s="189" t="s">
        <v>148</v>
      </c>
      <c r="H142" s="189"/>
      <c r="I142" s="112">
        <v>0</v>
      </c>
      <c r="J142" s="190" t="s">
        <v>163</v>
      </c>
      <c r="K142" s="190"/>
      <c r="L142" s="190"/>
      <c r="M142" s="190"/>
    </row>
    <row r="143" spans="2:13" ht="18.75" customHeight="1">
      <c r="B143" s="187" t="s">
        <v>160</v>
      </c>
      <c r="C143" s="188"/>
      <c r="D143" s="117">
        <f>121201109.21/1000</f>
        <v>121201.10921</v>
      </c>
      <c r="E143" s="80"/>
      <c r="F143" s="100" t="s">
        <v>147</v>
      </c>
      <c r="G143" s="189" t="s">
        <v>149</v>
      </c>
      <c r="H143" s="189"/>
      <c r="I143" s="116">
        <f>112180512.68/1000</f>
        <v>112180.51268000001</v>
      </c>
      <c r="J143" s="190" t="s">
        <v>164</v>
      </c>
      <c r="K143" s="190"/>
      <c r="L143" s="190"/>
      <c r="M143" s="190"/>
    </row>
    <row r="144" spans="7:12" ht="9.75" customHeight="1">
      <c r="G144" s="183"/>
      <c r="H144" s="183"/>
      <c r="I144" s="98"/>
      <c r="J144" s="99"/>
      <c r="K144" s="99"/>
      <c r="L144" s="99"/>
    </row>
    <row r="145" spans="2:12" ht="22.5" customHeight="1">
      <c r="B145" s="184" t="s">
        <v>169</v>
      </c>
      <c r="C145" s="185"/>
      <c r="D145" s="119">
        <f>17426016.57/1000</f>
        <v>17426.01657</v>
      </c>
      <c r="E145" s="77" t="s">
        <v>104</v>
      </c>
      <c r="G145" s="183"/>
      <c r="H145" s="183"/>
      <c r="I145" s="98"/>
      <c r="J145" s="99"/>
      <c r="K145" s="99"/>
      <c r="L145" s="99"/>
    </row>
    <row r="146" spans="4:15" ht="15.75">
      <c r="D146" s="114"/>
      <c r="N146" s="183"/>
      <c r="O146" s="183"/>
    </row>
    <row r="147" spans="4:15" ht="15.75">
      <c r="D147" s="113"/>
      <c r="I147" s="39"/>
      <c r="N147" s="186"/>
      <c r="O147" s="186"/>
    </row>
    <row r="148" spans="14:15" ht="15.75">
      <c r="N148" s="183"/>
      <c r="O148" s="183"/>
    </row>
  </sheetData>
  <mergeCells count="38">
    <mergeCell ref="N148:O148"/>
    <mergeCell ref="B145:C145"/>
    <mergeCell ref="G145:H145"/>
    <mergeCell ref="N146:O146"/>
    <mergeCell ref="N147:O147"/>
    <mergeCell ref="B143:C143"/>
    <mergeCell ref="G143:H143"/>
    <mergeCell ref="J143:M143"/>
    <mergeCell ref="G144:H144"/>
    <mergeCell ref="G141:H141"/>
    <mergeCell ref="J141:M141"/>
    <mergeCell ref="N141:O141"/>
    <mergeCell ref="G142:H142"/>
    <mergeCell ref="J142:M142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31" right="0.18" top="0.31" bottom="0.34" header="0.22" footer="0.29"/>
  <pageSetup fitToHeight="1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D77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02" sqref="G102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09" t="s">
        <v>266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126"/>
      <c r="R1" s="127"/>
    </row>
    <row r="2" spans="2:18" s="1" customFormat="1" ht="15.75" customHeight="1">
      <c r="B2" s="210"/>
      <c r="C2" s="210"/>
      <c r="D2" s="21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211"/>
      <c r="B3" s="176"/>
      <c r="C3" s="177" t="s">
        <v>0</v>
      </c>
      <c r="D3" s="178" t="s">
        <v>224</v>
      </c>
      <c r="E3" s="178"/>
      <c r="F3" s="179" t="s">
        <v>107</v>
      </c>
      <c r="G3" s="180"/>
      <c r="H3" s="180"/>
      <c r="I3" s="180"/>
      <c r="J3" s="180"/>
      <c r="K3" s="180"/>
      <c r="L3" s="212"/>
      <c r="M3" s="213" t="s">
        <v>225</v>
      </c>
      <c r="N3" s="215" t="s">
        <v>261</v>
      </c>
      <c r="O3" s="215"/>
      <c r="P3" s="215"/>
      <c r="Q3" s="215"/>
      <c r="R3" s="215"/>
    </row>
    <row r="4" spans="1:18" ht="22.5" customHeight="1">
      <c r="A4" s="211"/>
      <c r="B4" s="176"/>
      <c r="C4" s="177"/>
      <c r="D4" s="178"/>
      <c r="E4" s="178"/>
      <c r="F4" s="216" t="s">
        <v>116</v>
      </c>
      <c r="G4" s="203" t="s">
        <v>259</v>
      </c>
      <c r="H4" s="205" t="s">
        <v>260</v>
      </c>
      <c r="I4" s="201" t="s">
        <v>188</v>
      </c>
      <c r="J4" s="207" t="s">
        <v>189</v>
      </c>
      <c r="K4" s="194" t="s">
        <v>264</v>
      </c>
      <c r="L4" s="195"/>
      <c r="M4" s="214"/>
      <c r="N4" s="199" t="s">
        <v>267</v>
      </c>
      <c r="O4" s="201" t="s">
        <v>136</v>
      </c>
      <c r="P4" s="201" t="s">
        <v>135</v>
      </c>
      <c r="Q4" s="194" t="s">
        <v>265</v>
      </c>
      <c r="R4" s="195"/>
    </row>
    <row r="5" spans="1:18" ht="82.5" customHeight="1">
      <c r="A5" s="175"/>
      <c r="B5" s="176"/>
      <c r="C5" s="177"/>
      <c r="D5" s="150" t="s">
        <v>209</v>
      </c>
      <c r="E5" s="158" t="s">
        <v>258</v>
      </c>
      <c r="F5" s="217"/>
      <c r="G5" s="204"/>
      <c r="H5" s="206"/>
      <c r="I5" s="202"/>
      <c r="J5" s="208"/>
      <c r="K5" s="196"/>
      <c r="L5" s="197"/>
      <c r="M5" s="151" t="s">
        <v>262</v>
      </c>
      <c r="N5" s="200"/>
      <c r="O5" s="202"/>
      <c r="P5" s="202"/>
      <c r="Q5" s="196"/>
      <c r="R5" s="197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312013.39</v>
      </c>
      <c r="F8" s="22">
        <f>F10+F19+F33+F56+F68+F30</f>
        <v>308935.76999999996</v>
      </c>
      <c r="G8" s="22">
        <f aca="true" t="shared" si="0" ref="G8:G30">F8-E8</f>
        <v>-3077.6200000000536</v>
      </c>
      <c r="H8" s="51">
        <f>F8/E8*100</f>
        <v>99.01362566523186</v>
      </c>
      <c r="I8" s="36">
        <f aca="true" t="shared" si="1" ref="I8:I17">F8-D8</f>
        <v>-179540.53000000003</v>
      </c>
      <c r="J8" s="36">
        <f aca="true" t="shared" si="2" ref="J8:J14">F8/D8*100</f>
        <v>63.244781783681205</v>
      </c>
      <c r="K8" s="36">
        <f>F8-306776.9</f>
        <v>2158.869999999937</v>
      </c>
      <c r="L8" s="136">
        <f>F8/306776.9</f>
        <v>1.007037263887861</v>
      </c>
      <c r="M8" s="22">
        <f>M10+M19+M33+M56+M68+M30</f>
        <v>40778.67999999999</v>
      </c>
      <c r="N8" s="22">
        <f>N10+N19+N33+N56+N68+N30</f>
        <v>39810.48999999999</v>
      </c>
      <c r="O8" s="36">
        <f aca="true" t="shared" si="3" ref="O8:O71">N8-M8</f>
        <v>-968.1900000000023</v>
      </c>
      <c r="P8" s="36">
        <f>F8/M8*100</f>
        <v>757.5913933457385</v>
      </c>
      <c r="Q8" s="36">
        <f>N8-38892.4</f>
        <v>918.0899999999892</v>
      </c>
      <c r="R8" s="134">
        <f>N8/38892.4</f>
        <v>1.0236058972961295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250278.43</v>
      </c>
      <c r="G9" s="22">
        <f t="shared" si="0"/>
        <v>250278.43</v>
      </c>
      <c r="H9" s="20"/>
      <c r="I9" s="56">
        <f t="shared" si="1"/>
        <v>-136734.77000000002</v>
      </c>
      <c r="J9" s="56">
        <f t="shared" si="2"/>
        <v>64.66922316861543</v>
      </c>
      <c r="K9" s="56"/>
      <c r="L9" s="135"/>
      <c r="M9" s="20">
        <f>M10+M17</f>
        <v>33764.899999999994</v>
      </c>
      <c r="N9" s="20">
        <f>N10+N17</f>
        <v>32392.809999999998</v>
      </c>
      <c r="O9" s="36">
        <f t="shared" si="3"/>
        <v>-1372.0899999999965</v>
      </c>
      <c r="P9" s="56">
        <f>F9/M9*100</f>
        <v>741.2384754582423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255136</v>
      </c>
      <c r="F10" s="169">
        <v>250278.43</v>
      </c>
      <c r="G10" s="49">
        <f t="shared" si="0"/>
        <v>-4857.570000000007</v>
      </c>
      <c r="H10" s="40">
        <f aca="true" t="shared" si="4" ref="H10:H17">F10/E10*100</f>
        <v>98.09608600903047</v>
      </c>
      <c r="I10" s="56">
        <f t="shared" si="1"/>
        <v>-136734.77000000002</v>
      </c>
      <c r="J10" s="56">
        <f t="shared" si="2"/>
        <v>64.66922316861543</v>
      </c>
      <c r="K10" s="141">
        <f>F10-242707.3</f>
        <v>7571.130000000005</v>
      </c>
      <c r="L10" s="142">
        <f>F10/242707.3</f>
        <v>1.031194488175675</v>
      </c>
      <c r="M10" s="40">
        <f>E10-липень!E10</f>
        <v>33764.899999999994</v>
      </c>
      <c r="N10" s="40">
        <f>F10-липень!F10</f>
        <v>32392.809999999998</v>
      </c>
      <c r="O10" s="53">
        <f t="shared" si="3"/>
        <v>-1372.0899999999965</v>
      </c>
      <c r="P10" s="56">
        <f aca="true" t="shared" si="5" ref="P10:P17">N10/M10*100</f>
        <v>95.93634217782373</v>
      </c>
      <c r="Q10" s="141">
        <f>N10-31381.5</f>
        <v>1011.3099999999977</v>
      </c>
      <c r="R10" s="142">
        <f>N10/31381.5</f>
        <v>1.0322263116804486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E11-липень!E11</f>
        <v>0</v>
      </c>
      <c r="N11" s="40">
        <f>F11-липень!F11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E12-липень!E12</f>
        <v>0</v>
      </c>
      <c r="N12" s="40">
        <f>F12-липень!F12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E13-липень!E13</f>
        <v>0</v>
      </c>
      <c r="N13" s="40">
        <f>F13-липень!F13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E14-липень!E14</f>
        <v>0</v>
      </c>
      <c r="N14" s="40">
        <f>F14-липень!F14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E15-липень!E15</f>
        <v>0</v>
      </c>
      <c r="N15" s="40">
        <f>F15-липень!F15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E16-липень!E16</f>
        <v>0</v>
      </c>
      <c r="N16" s="40">
        <f>F16-липень!F16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E17-липень!E17</f>
        <v>0</v>
      </c>
      <c r="N17" s="40">
        <f>F17-липень!F17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E18-липень!E18</f>
        <v>0</v>
      </c>
      <c r="N18" s="40">
        <f>F18-липень!F18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1045.6</v>
      </c>
      <c r="F19" s="169">
        <v>72.71</v>
      </c>
      <c r="G19" s="49">
        <f t="shared" si="0"/>
        <v>-972.8899999999999</v>
      </c>
      <c r="H19" s="40">
        <f aca="true" t="shared" si="6" ref="H19:H29">F19/E19*100</f>
        <v>6.953902065799541</v>
      </c>
      <c r="I19" s="56">
        <f aca="true" t="shared" si="7" ref="I19:I29">F19-D19</f>
        <v>-927.29</v>
      </c>
      <c r="J19" s="56">
        <f aca="true" t="shared" si="8" ref="J19:J29">F19/D19*100</f>
        <v>7.271</v>
      </c>
      <c r="K19" s="167">
        <f>F19-6117.2</f>
        <v>-6044.49</v>
      </c>
      <c r="L19" s="168">
        <f>F19/6117.2</f>
        <v>0.011886157065324005</v>
      </c>
      <c r="M19" s="40">
        <f>E19-липень!E19</f>
        <v>12</v>
      </c>
      <c r="N19" s="40">
        <f>F19-липень!F19</f>
        <v>-276.67</v>
      </c>
      <c r="O19" s="53">
        <f t="shared" si="3"/>
        <v>-288.67</v>
      </c>
      <c r="P19" s="56">
        <f aca="true" t="shared" si="9" ref="P19:P29">N19/M19*100</f>
        <v>-2305.5833333333335</v>
      </c>
      <c r="Q19" s="56">
        <f>N19-74.4</f>
        <v>-351.07000000000005</v>
      </c>
      <c r="R19" s="135">
        <f>N19/74.4</f>
        <v>-3.718682795698925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169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E20-липень!E20</f>
        <v>0</v>
      </c>
      <c r="N20" s="40">
        <f>F20-липень!F20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169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E21-липень!E21</f>
        <v>0</v>
      </c>
      <c r="N21" s="40">
        <f>F21-липень!F21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169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E22-липень!E22</f>
        <v>0</v>
      </c>
      <c r="N22" s="40">
        <f>F22-липень!F22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169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E23-липень!E23</f>
        <v>0</v>
      </c>
      <c r="N23" s="40">
        <f>F23-липень!F23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169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E24-липень!E24</f>
        <v>0</v>
      </c>
      <c r="N24" s="40">
        <f>F24-липень!F24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169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E25-липень!E25</f>
        <v>0</v>
      </c>
      <c r="N25" s="40">
        <f>F25-липень!F25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169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E26-липень!E26</f>
        <v>0</v>
      </c>
      <c r="N26" s="40">
        <f>F26-липень!F26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169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E27-липень!E27</f>
        <v>0</v>
      </c>
      <c r="N27" s="40">
        <f>F27-липень!F27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169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E28-липень!E28</f>
        <v>0</v>
      </c>
      <c r="N28" s="40">
        <f>F28-липень!F28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785.6</v>
      </c>
      <c r="F29" s="170">
        <v>573.12</v>
      </c>
      <c r="G29" s="49">
        <f t="shared" si="0"/>
        <v>-212.48000000000002</v>
      </c>
      <c r="H29" s="40">
        <f t="shared" si="6"/>
        <v>72.9531568228106</v>
      </c>
      <c r="I29" s="56">
        <f t="shared" si="7"/>
        <v>-356.88</v>
      </c>
      <c r="J29" s="56">
        <f t="shared" si="8"/>
        <v>61.62580645161291</v>
      </c>
      <c r="K29" s="148">
        <f>F29-2498.05</f>
        <v>-1924.9300000000003</v>
      </c>
      <c r="L29" s="149">
        <f>F29/2498.05</f>
        <v>0.2294269530233582</v>
      </c>
      <c r="M29" s="40">
        <f>E29-липень!E29</f>
        <v>52</v>
      </c>
      <c r="N29" s="40">
        <f>F29-липень!F29</f>
        <v>-277.52</v>
      </c>
      <c r="O29" s="148">
        <f t="shared" si="3"/>
        <v>-329.52</v>
      </c>
      <c r="P29" s="145">
        <f t="shared" si="9"/>
        <v>-533.6923076923076</v>
      </c>
      <c r="Q29" s="148">
        <f>N29-74.37</f>
        <v>-351.89</v>
      </c>
      <c r="R29" s="149">
        <f>N29/74.37</f>
        <v>-3.7316122092241493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27</v>
      </c>
      <c r="F30" s="169">
        <v>3.31</v>
      </c>
      <c r="G30" s="49">
        <f t="shared" si="0"/>
        <v>-23.69</v>
      </c>
      <c r="H30" s="40"/>
      <c r="I30" s="56"/>
      <c r="J30" s="56"/>
      <c r="K30" s="56">
        <f>F30-25.1</f>
        <v>-21.790000000000003</v>
      </c>
      <c r="L30" s="149">
        <f>F30/25.1</f>
        <v>0.13187250996015937</v>
      </c>
      <c r="M30" s="40">
        <f>E30-липень!E30</f>
        <v>8.5</v>
      </c>
      <c r="N30" s="40">
        <f>F30-липень!F30</f>
        <v>-0.009999999999999787</v>
      </c>
      <c r="O30" s="53">
        <f t="shared" si="3"/>
        <v>-8.51</v>
      </c>
      <c r="P30" s="56"/>
      <c r="Q30" s="56">
        <f>N30-0</f>
        <v>-0.009999999999999787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E31-липень!E31</f>
        <v>0</v>
      </c>
      <c r="N31" s="40">
        <f>F31-липень!F31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E32-липень!E32</f>
        <v>0</v>
      </c>
      <c r="N32" s="40">
        <f>F32-липень!F32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51300.79</v>
      </c>
      <c r="F33" s="169">
        <v>54292.74</v>
      </c>
      <c r="G33" s="49">
        <f aca="true" t="shared" si="14" ref="G33:G72">F33-E33</f>
        <v>2991.949999999997</v>
      </c>
      <c r="H33" s="40">
        <f aca="true" t="shared" si="15" ref="H33:H67">F33/E33*100</f>
        <v>105.83217139541125</v>
      </c>
      <c r="I33" s="56">
        <f>F33-D33</f>
        <v>-39273.26</v>
      </c>
      <c r="J33" s="56">
        <f aca="true" t="shared" si="16" ref="J33:J72">F33/D33*100</f>
        <v>58.0261419746489</v>
      </c>
      <c r="K33" s="141">
        <f>F33-53788.3</f>
        <v>504.43999999999505</v>
      </c>
      <c r="L33" s="142">
        <f>F33/53788.3</f>
        <v>1.0093782476858348</v>
      </c>
      <c r="M33" s="40">
        <f>E33-липень!E33</f>
        <v>6439.68</v>
      </c>
      <c r="N33" s="40">
        <f>F33-липень!F33</f>
        <v>7190.5799999999945</v>
      </c>
      <c r="O33" s="53">
        <f t="shared" si="3"/>
        <v>750.8999999999942</v>
      </c>
      <c r="P33" s="56">
        <f aca="true" t="shared" si="17" ref="P33:P67">N33/M33*100</f>
        <v>111.66051729278463</v>
      </c>
      <c r="Q33" s="141">
        <f>N33-6951.4</f>
        <v>239.17999999999483</v>
      </c>
      <c r="R33" s="142">
        <f>N33/6951.4</f>
        <v>1.0344074574905766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169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E34-липень!E34</f>
        <v>0</v>
      </c>
      <c r="N34" s="40">
        <f>F34-липень!F34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169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E35-липень!E35</f>
        <v>0</v>
      </c>
      <c r="N35" s="40">
        <f>F35-липень!F35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169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E36-липень!E36</f>
        <v>0</v>
      </c>
      <c r="N36" s="40">
        <f>F36-липень!F36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169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E37-липень!E37</f>
        <v>0</v>
      </c>
      <c r="N37" s="40">
        <f>F37-липень!F37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169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E38-липень!E38</f>
        <v>0</v>
      </c>
      <c r="N38" s="40">
        <f>F38-липень!F38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169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E39-липень!E39</f>
        <v>0</v>
      </c>
      <c r="N39" s="40">
        <f>F39-липень!F39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169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E40-липень!E40</f>
        <v>0</v>
      </c>
      <c r="N40" s="40">
        <f>F40-липень!F40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169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E41-липень!E41</f>
        <v>0</v>
      </c>
      <c r="N41" s="40">
        <f>F41-липень!F41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169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E42-липень!E42</f>
        <v>0</v>
      </c>
      <c r="N42" s="40">
        <f>F42-липень!F42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169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E43-липень!E43</f>
        <v>0</v>
      </c>
      <c r="N43" s="40">
        <f>F43-липень!F43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169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E44-липень!E44</f>
        <v>0</v>
      </c>
      <c r="N44" s="40">
        <f>F44-липень!F44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169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E45-липень!E45</f>
        <v>0</v>
      </c>
      <c r="N45" s="40">
        <f>F45-липень!F45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169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E46-липень!E46</f>
        <v>0</v>
      </c>
      <c r="N46" s="40">
        <f>F46-липень!F46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169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E47-липень!E47</f>
        <v>0</v>
      </c>
      <c r="N47" s="40">
        <f>F47-липень!F47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169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E48-липень!E48</f>
        <v>0</v>
      </c>
      <c r="N48" s="40">
        <f>F48-липень!F48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169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E49-липень!E49</f>
        <v>0</v>
      </c>
      <c r="N49" s="40">
        <f>F49-липень!F49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169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E50-липень!E50</f>
        <v>0</v>
      </c>
      <c r="N50" s="40">
        <f>F50-липень!F50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169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E51-липень!E51</f>
        <v>0</v>
      </c>
      <c r="N51" s="40">
        <f>F51-липень!F51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169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E52-липень!E52</f>
        <v>0</v>
      </c>
      <c r="N52" s="40">
        <f>F52-липень!F52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169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E53-липень!E53</f>
        <v>0</v>
      </c>
      <c r="N53" s="40">
        <f>F53-липень!F53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169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E54-липень!E54</f>
        <v>0</v>
      </c>
      <c r="N54" s="40">
        <f>F54-липень!F54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37790.49</v>
      </c>
      <c r="F55" s="170">
        <v>40140.27</v>
      </c>
      <c r="G55" s="144">
        <f t="shared" si="14"/>
        <v>2349.779999999999</v>
      </c>
      <c r="H55" s="146">
        <f t="shared" si="15"/>
        <v>106.21791355444188</v>
      </c>
      <c r="I55" s="145">
        <f t="shared" si="18"/>
        <v>-30125.730000000003</v>
      </c>
      <c r="J55" s="145">
        <f t="shared" si="16"/>
        <v>57.12616343608573</v>
      </c>
      <c r="K55" s="148">
        <f>F55-38852.08</f>
        <v>1288.189999999995</v>
      </c>
      <c r="L55" s="149">
        <f>F55/38852.08</f>
        <v>1.0331562685961728</v>
      </c>
      <c r="M55" s="40">
        <f>E55-липень!E55</f>
        <v>4679.68</v>
      </c>
      <c r="N55" s="40">
        <f>F55-липень!F55</f>
        <v>5257.369999999995</v>
      </c>
      <c r="O55" s="148">
        <f t="shared" si="3"/>
        <v>577.689999999995</v>
      </c>
      <c r="P55" s="148">
        <f t="shared" si="17"/>
        <v>112.34464749726467</v>
      </c>
      <c r="Q55" s="160">
        <f>N55-5157.94</f>
        <v>99.42999999999574</v>
      </c>
      <c r="R55" s="161">
        <f>N55/5157.94</f>
        <v>1.0192770757317835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4503.9</v>
      </c>
      <c r="F56" s="169">
        <f>1.51+4285.78</f>
        <v>4287.29</v>
      </c>
      <c r="G56" s="49">
        <f t="shared" si="14"/>
        <v>-216.60999999999967</v>
      </c>
      <c r="H56" s="40">
        <f t="shared" si="15"/>
        <v>95.19061258020827</v>
      </c>
      <c r="I56" s="56">
        <f t="shared" si="18"/>
        <v>-2572.71</v>
      </c>
      <c r="J56" s="56">
        <f t="shared" si="16"/>
        <v>62.4969387755102</v>
      </c>
      <c r="K56" s="56">
        <f>F56-4138.3</f>
        <v>148.98999999999978</v>
      </c>
      <c r="L56" s="135">
        <f>F56/4138.3</f>
        <v>1.0360027064253436</v>
      </c>
      <c r="M56" s="40">
        <f>E56-липень!E56</f>
        <v>553.5999999999995</v>
      </c>
      <c r="N56" s="40">
        <f>F56-липень!F56</f>
        <v>503.52</v>
      </c>
      <c r="O56" s="53">
        <f t="shared" si="3"/>
        <v>-50.07999999999947</v>
      </c>
      <c r="P56" s="56">
        <f t="shared" si="17"/>
        <v>90.9537572254336</v>
      </c>
      <c r="Q56" s="56">
        <f>N56-484.9</f>
        <v>18.620000000000005</v>
      </c>
      <c r="R56" s="135">
        <f>N56/484.9</f>
        <v>1.0383996700350588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169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E57-липень!E57</f>
        <v>0</v>
      </c>
      <c r="N57" s="40">
        <f>F57-липень!F57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169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E58-липень!E58</f>
        <v>0</v>
      </c>
      <c r="N58" s="40">
        <f>F58-липень!F58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169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E59-липень!E59</f>
        <v>0</v>
      </c>
      <c r="N59" s="40">
        <f>F59-липень!F59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169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E60-липень!E60</f>
        <v>0</v>
      </c>
      <c r="N60" s="40">
        <f>F60-липень!F60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169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E61-липень!E61</f>
        <v>0</v>
      </c>
      <c r="N61" s="40">
        <f>F61-липень!F61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169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E62-липень!E62</f>
        <v>0</v>
      </c>
      <c r="N62" s="40">
        <f>F62-липень!F62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169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E63-липень!E63</f>
        <v>0</v>
      </c>
      <c r="N63" s="40">
        <f>F63-липень!F63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169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E64-липень!E64</f>
        <v>0</v>
      </c>
      <c r="N64" s="40">
        <f>F64-липень!F64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169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E65-липень!E65</f>
        <v>0</v>
      </c>
      <c r="N65" s="40">
        <f>F65-липень!F65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169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E66-липень!E66</f>
        <v>0</v>
      </c>
      <c r="N66" s="40">
        <f>F66-липень!F66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169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E67-липень!E67</f>
        <v>0</v>
      </c>
      <c r="N67" s="40">
        <f>F67-липень!F67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169">
        <v>1.29</v>
      </c>
      <c r="G68" s="49">
        <f t="shared" si="14"/>
        <v>1.19</v>
      </c>
      <c r="H68" s="40"/>
      <c r="I68" s="56">
        <f t="shared" si="18"/>
        <v>1.19</v>
      </c>
      <c r="J68" s="56">
        <f t="shared" si="16"/>
        <v>1290</v>
      </c>
      <c r="K68" s="56">
        <f>F68-0.7</f>
        <v>0.5900000000000001</v>
      </c>
      <c r="L68" s="135"/>
      <c r="M68" s="40">
        <f>E68-липень!E68</f>
        <v>0</v>
      </c>
      <c r="N68" s="40">
        <f>F68-липень!F68</f>
        <v>0.26</v>
      </c>
      <c r="O68" s="53">
        <f t="shared" si="3"/>
        <v>0.26</v>
      </c>
      <c r="P68" s="56"/>
      <c r="Q68" s="56">
        <f>N68-0.3</f>
        <v>-0.03999999999999998</v>
      </c>
      <c r="R68" s="135">
        <f>N68/0.3</f>
        <v>0.8666666666666667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10599.5</v>
      </c>
      <c r="F74" s="22">
        <f>F77+F86+F88+F89+F94+F95+F96+F97+F99+F104+F87+F103</f>
        <v>8609.73</v>
      </c>
      <c r="G74" s="50">
        <f aca="true" t="shared" si="24" ref="G74:G92">F74-E74</f>
        <v>-1989.7700000000004</v>
      </c>
      <c r="H74" s="51">
        <f aca="true" t="shared" si="25" ref="H74:H87">F74/E74*100</f>
        <v>81.22769941978395</v>
      </c>
      <c r="I74" s="36">
        <f aca="true" t="shared" si="26" ref="I74:I92">F74-D74</f>
        <v>-9748.57</v>
      </c>
      <c r="J74" s="36">
        <f aca="true" t="shared" si="27" ref="J74:J92">F74/D74*100</f>
        <v>46.89829668324409</v>
      </c>
      <c r="K74" s="36">
        <f>F74-12962.5</f>
        <v>-4352.77</v>
      </c>
      <c r="L74" s="136">
        <f>F74/12962.5</f>
        <v>0.6642028929604629</v>
      </c>
      <c r="M74" s="22">
        <f>M77+M86+M88+M89+M94+M95+M96+M97+M99+M87+M104</f>
        <v>1620.5</v>
      </c>
      <c r="N74" s="22">
        <f>N77+N86+N88+N89+N94+N95+N96+N97+N99+N32+N104+N87+N103</f>
        <v>1165.59</v>
      </c>
      <c r="O74" s="55">
        <f aca="true" t="shared" si="28" ref="O74:O92">N74-M74</f>
        <v>-454.9100000000001</v>
      </c>
      <c r="P74" s="36">
        <f>N74/M74*100</f>
        <v>71.92780006170935</v>
      </c>
      <c r="Q74" s="36">
        <f>N74-1702.6</f>
        <v>-537.01</v>
      </c>
      <c r="R74" s="136">
        <f>N74/1702.6</f>
        <v>0.6845941501233408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110</v>
      </c>
      <c r="F77" s="169">
        <v>123.45</v>
      </c>
      <c r="G77" s="49">
        <f t="shared" si="24"/>
        <v>13.450000000000003</v>
      </c>
      <c r="H77" s="40">
        <f t="shared" si="25"/>
        <v>112.22727272727273</v>
      </c>
      <c r="I77" s="56">
        <f t="shared" si="26"/>
        <v>-376.55</v>
      </c>
      <c r="J77" s="56">
        <f t="shared" si="27"/>
        <v>24.69</v>
      </c>
      <c r="K77" s="167">
        <f>F77-1694.5</f>
        <v>-1571.05</v>
      </c>
      <c r="L77" s="168">
        <f>F77/1694.5</f>
        <v>0.07285334907052228</v>
      </c>
      <c r="M77" s="40">
        <f>E77-липень!E77</f>
        <v>50</v>
      </c>
      <c r="N77" s="40">
        <f>F77-липень!F77</f>
        <v>17.159999999999997</v>
      </c>
      <c r="O77" s="53">
        <f t="shared" si="28"/>
        <v>-32.84</v>
      </c>
      <c r="P77" s="56">
        <f aca="true" t="shared" si="29" ref="P77:P87">N77/M77*100</f>
        <v>34.31999999999999</v>
      </c>
      <c r="Q77" s="56">
        <f>N77-46.4</f>
        <v>-29.240000000000002</v>
      </c>
      <c r="R77" s="135">
        <f>N77/46.4</f>
        <v>0.3698275862068965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169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E78-липень!E78</f>
        <v>0</v>
      </c>
      <c r="N78" s="40">
        <f>F78-липень!F78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169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E79-липень!E79</f>
        <v>0</v>
      </c>
      <c r="N79" s="40">
        <f>F79-липень!F79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169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E80-липень!E80</f>
        <v>0</v>
      </c>
      <c r="N80" s="40">
        <f>F80-липень!F80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169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E81-липень!E81</f>
        <v>0</v>
      </c>
      <c r="N81" s="40">
        <f>F81-липень!F81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169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E82-липень!E82</f>
        <v>0</v>
      </c>
      <c r="N82" s="40">
        <f>F82-липень!F82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169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E83-липень!E83</f>
        <v>0</v>
      </c>
      <c r="N83" s="40">
        <f>F83-липень!F83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169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E84-липень!E84</f>
        <v>0</v>
      </c>
      <c r="N84" s="40">
        <f>F84-липень!F84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169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E85-липень!E85</f>
        <v>0</v>
      </c>
      <c r="N85" s="40">
        <f>F85-липень!F85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2120</v>
      </c>
      <c r="F86" s="169">
        <v>0</v>
      </c>
      <c r="G86" s="49">
        <f t="shared" si="24"/>
        <v>-2120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7">
        <f>F86-2152</f>
        <v>-2152</v>
      </c>
      <c r="L86" s="168">
        <f>F86/2152</f>
        <v>0</v>
      </c>
      <c r="M86" s="40">
        <f>E86-липень!E86</f>
        <v>480</v>
      </c>
      <c r="N86" s="40">
        <f>F86-липень!F86</f>
        <v>0</v>
      </c>
      <c r="O86" s="53">
        <f t="shared" si="28"/>
        <v>-480</v>
      </c>
      <c r="P86" s="56">
        <f t="shared" si="29"/>
        <v>0</v>
      </c>
      <c r="Q86" s="56">
        <f>N86-491.3</f>
        <v>-491.3</v>
      </c>
      <c r="R86" s="135">
        <f>N86/491.3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169">
        <v>255.77</v>
      </c>
      <c r="G87" s="49">
        <f t="shared" si="24"/>
        <v>35.77000000000001</v>
      </c>
      <c r="H87" s="40">
        <f t="shared" si="25"/>
        <v>116.25909090909093</v>
      </c>
      <c r="I87" s="56">
        <f t="shared" si="26"/>
        <v>-244.23</v>
      </c>
      <c r="J87" s="56">
        <f t="shared" si="27"/>
        <v>51.153999999999996</v>
      </c>
      <c r="K87" s="56">
        <f>F87-198</f>
        <v>57.77000000000001</v>
      </c>
      <c r="L87" s="135">
        <f>F87/198</f>
        <v>1.291767676767677</v>
      </c>
      <c r="M87" s="40">
        <f>E87-липень!E87</f>
        <v>0</v>
      </c>
      <c r="N87" s="40">
        <f>F87-липень!F87</f>
        <v>41.19</v>
      </c>
      <c r="O87" s="53">
        <f t="shared" si="28"/>
        <v>41.19</v>
      </c>
      <c r="P87" s="56" t="e">
        <f t="shared" si="29"/>
        <v>#DIV/0!</v>
      </c>
      <c r="Q87" s="56">
        <f>N87-8.3</f>
        <v>32.89</v>
      </c>
      <c r="R87" s="135">
        <f>N87/8.3</f>
        <v>4.962650602409638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3</v>
      </c>
      <c r="F88" s="169">
        <v>5.6</v>
      </c>
      <c r="G88" s="49">
        <f t="shared" si="24"/>
        <v>2.5999999999999996</v>
      </c>
      <c r="H88" s="40">
        <f>F88/E88*100</f>
        <v>186.66666666666666</v>
      </c>
      <c r="I88" s="56">
        <f t="shared" si="26"/>
        <v>0.5</v>
      </c>
      <c r="J88" s="56">
        <f t="shared" si="27"/>
        <v>109.80392156862746</v>
      </c>
      <c r="K88" s="56">
        <f>F88-0.5</f>
        <v>5.1</v>
      </c>
      <c r="L88" s="135"/>
      <c r="M88" s="40">
        <f>E88-липень!E88</f>
        <v>0.5</v>
      </c>
      <c r="N88" s="40">
        <f>F88-липень!F88</f>
        <v>0</v>
      </c>
      <c r="O88" s="53">
        <f t="shared" si="28"/>
        <v>-0.5</v>
      </c>
      <c r="P88" s="56">
        <f>N88/M88*100</f>
        <v>0</v>
      </c>
      <c r="Q88" s="56">
        <f>N88-(-1.1)</f>
        <v>1.1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114</v>
      </c>
      <c r="F89" s="169">
        <v>82.36</v>
      </c>
      <c r="G89" s="49">
        <f t="shared" si="24"/>
        <v>-31.64</v>
      </c>
      <c r="H89" s="40">
        <f>F89/E89*100</f>
        <v>72.24561403508773</v>
      </c>
      <c r="I89" s="56">
        <f t="shared" si="26"/>
        <v>-92.64</v>
      </c>
      <c r="J89" s="56">
        <f t="shared" si="27"/>
        <v>47.06285714285715</v>
      </c>
      <c r="K89" s="56">
        <f>F89-108.5</f>
        <v>-26.14</v>
      </c>
      <c r="L89" s="135">
        <f>F89/108.5</f>
        <v>0.7590783410138249</v>
      </c>
      <c r="M89" s="40">
        <f>E89-липень!E89</f>
        <v>15</v>
      </c>
      <c r="N89" s="40">
        <f>F89-липень!F89</f>
        <v>4.1200000000000045</v>
      </c>
      <c r="O89" s="53">
        <f t="shared" si="28"/>
        <v>-10.879999999999995</v>
      </c>
      <c r="P89" s="56">
        <f>N89/M89*100</f>
        <v>27.466666666666693</v>
      </c>
      <c r="Q89" s="56">
        <f>N89-14.5</f>
        <v>-10.379999999999995</v>
      </c>
      <c r="R89" s="135">
        <f>N89/14.5</f>
        <v>0.2841379310344831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169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E90-липень!E90</f>
        <v>0</v>
      </c>
      <c r="N90" s="40">
        <f>F90-липень!F90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169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E91-липень!E91</f>
        <v>0</v>
      </c>
      <c r="N91" s="40">
        <f>F91-липень!F91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169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E92-липень!E92</f>
        <v>0</v>
      </c>
      <c r="N92" s="40">
        <f>F92-липень!F92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E93-липень!E93</f>
        <v>0</v>
      </c>
      <c r="N93" s="40">
        <f>F93-липень!F93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169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E94-липень!E94</f>
        <v>0</v>
      </c>
      <c r="N94" s="40">
        <f>F94-липень!F94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4681.5</v>
      </c>
      <c r="F95" s="169">
        <v>4735.68</v>
      </c>
      <c r="G95" s="49">
        <f t="shared" si="31"/>
        <v>54.18000000000029</v>
      </c>
      <c r="H95" s="40">
        <f>F95/E95*100</f>
        <v>101.15732137135534</v>
      </c>
      <c r="I95" s="56">
        <f t="shared" si="32"/>
        <v>-2264.3199999999997</v>
      </c>
      <c r="J95" s="56">
        <f>F95/D95*100</f>
        <v>67.65257142857143</v>
      </c>
      <c r="K95" s="56">
        <f>F95-4948.3</f>
        <v>-212.6199999999999</v>
      </c>
      <c r="L95" s="135">
        <f>F95/4948.3</f>
        <v>0.9570317078592648</v>
      </c>
      <c r="M95" s="40">
        <f>E95-липень!E95</f>
        <v>575</v>
      </c>
      <c r="N95" s="40">
        <f>F95-липень!F95</f>
        <v>592.3000000000002</v>
      </c>
      <c r="O95" s="53">
        <f t="shared" si="33"/>
        <v>17.300000000000182</v>
      </c>
      <c r="P95" s="56">
        <f>N95/M95*100</f>
        <v>103.00869565217394</v>
      </c>
      <c r="Q95" s="56">
        <f>N95-696.9</f>
        <v>-104.5999999999998</v>
      </c>
      <c r="R95" s="135">
        <f>N95/696.9</f>
        <v>0.8499067298034154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694.5</v>
      </c>
      <c r="F96" s="169">
        <v>685.66</v>
      </c>
      <c r="G96" s="49">
        <f t="shared" si="31"/>
        <v>-8.840000000000032</v>
      </c>
      <c r="H96" s="40">
        <f>F96/E96*100</f>
        <v>98.72714182865371</v>
      </c>
      <c r="I96" s="56">
        <f t="shared" si="32"/>
        <v>-514.34</v>
      </c>
      <c r="J96" s="56">
        <f>F96/D96*100</f>
        <v>57.138333333333335</v>
      </c>
      <c r="K96" s="56">
        <f>F96-693.4</f>
        <v>-7.740000000000009</v>
      </c>
      <c r="L96" s="135">
        <f>F96/693.4</f>
        <v>0.9888376117680993</v>
      </c>
      <c r="M96" s="40">
        <f>E96-липень!E96</f>
        <v>90</v>
      </c>
      <c r="N96" s="40">
        <f>F96-липень!F96</f>
        <v>154.25</v>
      </c>
      <c r="O96" s="53">
        <f t="shared" si="33"/>
        <v>64.25</v>
      </c>
      <c r="P96" s="56">
        <f>N96/M96*100</f>
        <v>171.38888888888889</v>
      </c>
      <c r="Q96" s="56">
        <f>N96-90.8</f>
        <v>63.45</v>
      </c>
      <c r="R96" s="135">
        <f>N96/90.8</f>
        <v>1.6987885462555066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169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E97-липень!E97</f>
        <v>0</v>
      </c>
      <c r="N97" s="40">
        <f>F97-липень!F97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169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E98-липень!E98</f>
        <v>0</v>
      </c>
      <c r="N98" s="40">
        <f>F98-липень!F98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2597</v>
      </c>
      <c r="F99" s="169">
        <v>2702.66</v>
      </c>
      <c r="G99" s="49">
        <f t="shared" si="31"/>
        <v>105.65999999999985</v>
      </c>
      <c r="H99" s="40">
        <f>F99/E99*100</f>
        <v>104.0685406237967</v>
      </c>
      <c r="I99" s="56">
        <f t="shared" si="32"/>
        <v>-1870.04</v>
      </c>
      <c r="J99" s="56">
        <f>F99/D99*100</f>
        <v>59.10424913071052</v>
      </c>
      <c r="K99" s="56">
        <f>F99-2979.1</f>
        <v>-276.44000000000005</v>
      </c>
      <c r="L99" s="135">
        <f>F99/2979.1</f>
        <v>0.9072068745594307</v>
      </c>
      <c r="M99" s="40">
        <f>E99-липень!E99</f>
        <v>410</v>
      </c>
      <c r="N99" s="40">
        <f>F99-липень!F99</f>
        <v>356.5699999999997</v>
      </c>
      <c r="O99" s="53">
        <f t="shared" si="33"/>
        <v>-53.43000000000029</v>
      </c>
      <c r="P99" s="56">
        <f>N99/M99*100</f>
        <v>86.96829268292676</v>
      </c>
      <c r="Q99" s="56">
        <f>N99-355.4</f>
        <v>1.1699999999997317</v>
      </c>
      <c r="R99" s="135">
        <f>N99/355.4</f>
        <v>1.0032920652785586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169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E100-липень!E100</f>
        <v>0</v>
      </c>
      <c r="N100" s="40">
        <f>F100-липень!F100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169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E101-липень!E101</f>
        <v>0</v>
      </c>
      <c r="N101" s="40">
        <f>F101-липень!F101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70">
        <v>635.8</v>
      </c>
      <c r="G102" s="144"/>
      <c r="H102" s="146"/>
      <c r="I102" s="145"/>
      <c r="J102" s="145"/>
      <c r="K102" s="148">
        <f>F102-421.2</f>
        <v>214.59999999999997</v>
      </c>
      <c r="L102" s="149">
        <f>F102/421.2</f>
        <v>1.5094966761633428</v>
      </c>
      <c r="M102" s="40">
        <f>E102-липень!E102</f>
        <v>0</v>
      </c>
      <c r="N102" s="40">
        <f>F102-липень!F102</f>
        <v>165.89999999999998</v>
      </c>
      <c r="O102" s="53"/>
      <c r="P102" s="60"/>
      <c r="Q102" s="60">
        <f>N102-95.6</f>
        <v>70.29999999999998</v>
      </c>
      <c r="R102" s="138">
        <f>N102/95.6</f>
        <v>1.7353556485355648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71">
        <v>4.74</v>
      </c>
      <c r="G103" s="144"/>
      <c r="H103" s="146"/>
      <c r="I103" s="145"/>
      <c r="J103" s="145"/>
      <c r="K103" s="148"/>
      <c r="L103" s="149"/>
      <c r="M103" s="40">
        <f>E103-липень!E103</f>
        <v>0</v>
      </c>
      <c r="N103" s="40">
        <f>F103-липень!F103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169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-48.269999999999996</v>
      </c>
      <c r="K104" s="56">
        <f>F104-59.1</f>
        <v>-45.82</v>
      </c>
      <c r="L104" s="135">
        <f>F104/59.1</f>
        <v>0.22470389170896785</v>
      </c>
      <c r="M104" s="40">
        <f>E104-липень!E104</f>
        <v>0</v>
      </c>
      <c r="N104" s="40">
        <f>F104-липень!F104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21.2</v>
      </c>
      <c r="F105" s="169">
        <v>17.23</v>
      </c>
      <c r="G105" s="49">
        <f>F105-E105</f>
        <v>-3.969999999999999</v>
      </c>
      <c r="H105" s="40">
        <f>F105/E105*100</f>
        <v>81.27358490566039</v>
      </c>
      <c r="I105" s="56">
        <f t="shared" si="34"/>
        <v>-27.77</v>
      </c>
      <c r="J105" s="56">
        <f aca="true" t="shared" si="36" ref="J105:J110">F105/D105*100</f>
        <v>38.28888888888889</v>
      </c>
      <c r="K105" s="56">
        <f>F105-13.4</f>
        <v>3.83</v>
      </c>
      <c r="L105" s="135">
        <f>F105/13.4</f>
        <v>1.285820895522388</v>
      </c>
      <c r="M105" s="40">
        <f>E105-липень!E105</f>
        <v>3</v>
      </c>
      <c r="N105" s="40">
        <f>F105-липень!F105</f>
        <v>1.8000000000000007</v>
      </c>
      <c r="O105" s="53">
        <f t="shared" si="35"/>
        <v>-1.1999999999999993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169">
        <v>0.37</v>
      </c>
      <c r="G106" s="49"/>
      <c r="H106" s="40"/>
      <c r="I106" s="56"/>
      <c r="J106" s="56"/>
      <c r="K106" s="56"/>
      <c r="L106" s="135"/>
      <c r="M106" s="40">
        <f>E106-липень!E106</f>
        <v>0</v>
      </c>
      <c r="N106" s="40">
        <f>F106-липень!F106</f>
        <v>0.29</v>
      </c>
      <c r="O106" s="53">
        <f t="shared" si="35"/>
        <v>0.29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322634.09</v>
      </c>
      <c r="F107" s="22">
        <f>F8+F74+F105+F106</f>
        <v>317563.0999999999</v>
      </c>
      <c r="G107" s="50">
        <f>F107-E107</f>
        <v>-5070.990000000107</v>
      </c>
      <c r="H107" s="51">
        <f>F107/E107*100</f>
        <v>98.42825350538746</v>
      </c>
      <c r="I107" s="36">
        <f t="shared" si="34"/>
        <v>-189316.50000000006</v>
      </c>
      <c r="J107" s="36">
        <f t="shared" si="36"/>
        <v>62.65059789346423</v>
      </c>
      <c r="K107" s="36">
        <f>F107-319755.3</f>
        <v>-2192.20000000007</v>
      </c>
      <c r="L107" s="136">
        <f>F107/319755.3</f>
        <v>0.9931441324037473</v>
      </c>
      <c r="M107" s="22">
        <f>M8+M74+M105+M106</f>
        <v>42402.17999999999</v>
      </c>
      <c r="N107" s="22">
        <f>N8+N74+N105+N106</f>
        <v>40978.16999999999</v>
      </c>
      <c r="O107" s="55">
        <f t="shared" si="35"/>
        <v>-1424.010000000002</v>
      </c>
      <c r="P107" s="36">
        <f>N107/M107*100</f>
        <v>96.64165851850069</v>
      </c>
      <c r="Q107" s="36">
        <f>N107-40595</f>
        <v>383.169999999991</v>
      </c>
      <c r="R107" s="136">
        <f>N107/40595</f>
        <v>1.0094388471486635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255830.5</v>
      </c>
      <c r="F108" s="71">
        <f>F10-F18+F96</f>
        <v>250964.09</v>
      </c>
      <c r="G108" s="71">
        <f>G10-G18+G96</f>
        <v>-4866.410000000007</v>
      </c>
      <c r="H108" s="72">
        <f>F108/E108*100</f>
        <v>98.09779912871998</v>
      </c>
      <c r="I108" s="52">
        <f t="shared" si="34"/>
        <v>-137249.11000000002</v>
      </c>
      <c r="J108" s="52">
        <f t="shared" si="36"/>
        <v>64.6459445479958</v>
      </c>
      <c r="K108" s="52">
        <f>F108-243489.6</f>
        <v>7474.489999999991</v>
      </c>
      <c r="L108" s="137">
        <f>F108/243489.6</f>
        <v>1.0306973685939769</v>
      </c>
      <c r="M108" s="71">
        <f>M10-M18+M96</f>
        <v>33854.899999999994</v>
      </c>
      <c r="N108" s="71">
        <f>N10-N18+N96</f>
        <v>32547.059999999998</v>
      </c>
      <c r="O108" s="53">
        <f t="shared" si="35"/>
        <v>-1307.8399999999965</v>
      </c>
      <c r="P108" s="52">
        <f>N108/M108*100</f>
        <v>96.13692552629016</v>
      </c>
      <c r="Q108" s="52">
        <f>N108-31472.4</f>
        <v>1074.6599999999962</v>
      </c>
      <c r="R108" s="137">
        <f>N108/31472.4</f>
        <v>1.0341461089716704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66803.59000000003</v>
      </c>
      <c r="F109" s="71">
        <f>F107-F108</f>
        <v>66599.00999999992</v>
      </c>
      <c r="G109" s="62">
        <f>F109-E109</f>
        <v>-204.5800000001036</v>
      </c>
      <c r="H109" s="72">
        <f>F109/E109*100</f>
        <v>99.69375897313287</v>
      </c>
      <c r="I109" s="52">
        <f t="shared" si="34"/>
        <v>-52067.39000000004</v>
      </c>
      <c r="J109" s="52">
        <f t="shared" si="36"/>
        <v>56.122887354803</v>
      </c>
      <c r="K109" s="52">
        <f>F109-76265.7</f>
        <v>-9666.690000000075</v>
      </c>
      <c r="L109" s="137">
        <f>F109/76265.7</f>
        <v>0.8732498357715188</v>
      </c>
      <c r="M109" s="71">
        <f>M107-M108</f>
        <v>8547.279999999999</v>
      </c>
      <c r="N109" s="71">
        <f>N107-N108</f>
        <v>8431.109999999993</v>
      </c>
      <c r="O109" s="53">
        <f t="shared" si="35"/>
        <v>-116.17000000000553</v>
      </c>
      <c r="P109" s="52">
        <f>N109/M109*100</f>
        <v>98.6408541664716</v>
      </c>
      <c r="Q109" s="52">
        <f>N109-9122.6</f>
        <v>-691.4900000000071</v>
      </c>
      <c r="R109" s="137">
        <f>N109/9122.6</f>
        <v>0.9242003376230453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250460.6</v>
      </c>
      <c r="F110" s="71">
        <f>F108</f>
        <v>250964.09</v>
      </c>
      <c r="G110" s="111">
        <f>F110-E110</f>
        <v>503.4899999999907</v>
      </c>
      <c r="H110" s="72">
        <f>F110/E110*100</f>
        <v>100.20102563037858</v>
      </c>
      <c r="I110" s="81">
        <f t="shared" si="34"/>
        <v>-137249.11000000002</v>
      </c>
      <c r="J110" s="52">
        <f t="shared" si="36"/>
        <v>64.6459445479958</v>
      </c>
      <c r="K110" s="52"/>
      <c r="L110" s="137"/>
      <c r="M110" s="72">
        <f>E110-липень!E110</f>
        <v>33854.899999999994</v>
      </c>
      <c r="N110" s="71">
        <f>N108</f>
        <v>32547.059999999998</v>
      </c>
      <c r="O110" s="63">
        <f t="shared" si="35"/>
        <v>-1307.8399999999965</v>
      </c>
      <c r="P110" s="52">
        <f>N110/M110*100</f>
        <v>96.13692552629016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263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172">
        <v>-0.96</v>
      </c>
      <c r="G114" s="49">
        <f aca="true" t="shared" si="37" ref="G114:G126">F114-E114</f>
        <v>-0.96</v>
      </c>
      <c r="H114" s="40"/>
      <c r="I114" s="60">
        <f aca="true" t="shared" si="38" ref="I114:I125">F114-D114</f>
        <v>-0.96</v>
      </c>
      <c r="J114" s="60"/>
      <c r="K114" s="60">
        <f>F114-20.7</f>
        <v>-21.66</v>
      </c>
      <c r="L114" s="138">
        <f>F114/20.7</f>
        <v>-0.0463768115942029</v>
      </c>
      <c r="M114" s="40">
        <f>E114-липень!E114</f>
        <v>0</v>
      </c>
      <c r="N114" s="40">
        <f>F114-липень!F114</f>
        <v>0.17999999999999994</v>
      </c>
      <c r="O114" s="53"/>
      <c r="P114" s="60"/>
      <c r="Q114" s="60">
        <f>N114-7.2</f>
        <v>-7.0200000000000005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2352.1</v>
      </c>
      <c r="F115" s="172">
        <v>985.52</v>
      </c>
      <c r="G115" s="49">
        <f t="shared" si="37"/>
        <v>-1366.58</v>
      </c>
      <c r="H115" s="40">
        <f aca="true" t="shared" si="39" ref="H115:H126">F115/E115*100</f>
        <v>41.89957909952808</v>
      </c>
      <c r="I115" s="60">
        <f t="shared" si="38"/>
        <v>-2685.98</v>
      </c>
      <c r="J115" s="60">
        <f aca="true" t="shared" si="40" ref="J115:J121">F115/D115*100</f>
        <v>26.84243497208226</v>
      </c>
      <c r="K115" s="60">
        <f>F115-2927.1</f>
        <v>-1941.58</v>
      </c>
      <c r="L115" s="138">
        <f>F115/2927.1</f>
        <v>0.33668818967578834</v>
      </c>
      <c r="M115" s="40">
        <f>E115-липень!E115</f>
        <v>327.5</v>
      </c>
      <c r="N115" s="40">
        <f>F115-липень!F115</f>
        <v>172.16999999999996</v>
      </c>
      <c r="O115" s="53">
        <f aca="true" t="shared" si="41" ref="O115:O126">N115-M115</f>
        <v>-155.33000000000004</v>
      </c>
      <c r="P115" s="60">
        <f>N115/M115*100</f>
        <v>52.570992366412206</v>
      </c>
      <c r="Q115" s="60">
        <f>N115-728.3</f>
        <v>-556.13</v>
      </c>
      <c r="R115" s="138">
        <f>N115/728.3</f>
        <v>0.23639983523273372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178.5</v>
      </c>
      <c r="F116" s="172">
        <v>207.32</v>
      </c>
      <c r="G116" s="49">
        <f t="shared" si="37"/>
        <v>28.819999999999993</v>
      </c>
      <c r="H116" s="40">
        <f t="shared" si="39"/>
        <v>116.14565826330532</v>
      </c>
      <c r="I116" s="60">
        <f t="shared" si="38"/>
        <v>-60.78000000000003</v>
      </c>
      <c r="J116" s="60">
        <f t="shared" si="40"/>
        <v>77.32935471838866</v>
      </c>
      <c r="K116" s="60">
        <f>F116-175.7</f>
        <v>31.620000000000005</v>
      </c>
      <c r="L116" s="138">
        <f>F116/175.7</f>
        <v>1.1799658508821855</v>
      </c>
      <c r="M116" s="40">
        <f>E116-липень!E116</f>
        <v>22</v>
      </c>
      <c r="N116" s="40">
        <f>F116-липень!F116</f>
        <v>23.97999999999999</v>
      </c>
      <c r="O116" s="53">
        <f t="shared" si="41"/>
        <v>1.9799999999999898</v>
      </c>
      <c r="P116" s="60">
        <f>N116/M116*100</f>
        <v>108.99999999999996</v>
      </c>
      <c r="Q116" s="60">
        <f>N116-21.9</f>
        <v>2.079999999999991</v>
      </c>
      <c r="R116" s="138">
        <f>N116/21.9</f>
        <v>1.0949771689497714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2530.6</v>
      </c>
      <c r="F117" s="173">
        <f>SUM(F114:F116)</f>
        <v>1191.8799999999999</v>
      </c>
      <c r="G117" s="62">
        <f t="shared" si="37"/>
        <v>-1338.72</v>
      </c>
      <c r="H117" s="72">
        <f t="shared" si="39"/>
        <v>47.09871176796017</v>
      </c>
      <c r="I117" s="61">
        <f t="shared" si="38"/>
        <v>-2747.7200000000003</v>
      </c>
      <c r="J117" s="61">
        <f t="shared" si="40"/>
        <v>30.253832876434156</v>
      </c>
      <c r="K117" s="61">
        <f>F117-3123.4</f>
        <v>-1931.5200000000002</v>
      </c>
      <c r="L117" s="139">
        <f>F117/3123.4</f>
        <v>0.38159697765255807</v>
      </c>
      <c r="M117" s="62">
        <f>M115+M116+M114</f>
        <v>349.5</v>
      </c>
      <c r="N117" s="38">
        <f>SUM(N114:N116)</f>
        <v>196.32999999999996</v>
      </c>
      <c r="O117" s="61">
        <f t="shared" si="41"/>
        <v>-153.17000000000004</v>
      </c>
      <c r="P117" s="61">
        <f>N117/M117*100</f>
        <v>56.17453505007152</v>
      </c>
      <c r="Q117" s="61">
        <f>N117-757.4</f>
        <v>-561.07</v>
      </c>
      <c r="R117" s="139">
        <f>N117/757.4</f>
        <v>0.25921573805122783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182.5</v>
      </c>
      <c r="F119" s="174">
        <v>288.8</v>
      </c>
      <c r="G119" s="49">
        <f t="shared" si="37"/>
        <v>106.30000000000001</v>
      </c>
      <c r="H119" s="40">
        <f t="shared" si="39"/>
        <v>158.24657534246575</v>
      </c>
      <c r="I119" s="60">
        <f t="shared" si="38"/>
        <v>21.600000000000023</v>
      </c>
      <c r="J119" s="60">
        <f t="shared" si="40"/>
        <v>108.08383233532935</v>
      </c>
      <c r="K119" s="60">
        <f>F119-173.1</f>
        <v>115.70000000000002</v>
      </c>
      <c r="L119" s="138">
        <f>F119/173.1</f>
        <v>1.6683997689196997</v>
      </c>
      <c r="M119" s="40">
        <f>E119-липень!E119</f>
        <v>0</v>
      </c>
      <c r="N119" s="40">
        <f>F119-липень!F119</f>
        <v>29.730000000000018</v>
      </c>
      <c r="O119" s="53">
        <f>N119-M119</f>
        <v>29.730000000000018</v>
      </c>
      <c r="P119" s="60" t="e">
        <f>N119/M119*100</f>
        <v>#DIV/0!</v>
      </c>
      <c r="Q119" s="60">
        <f>N119-0.4</f>
        <v>29.33000000000002</v>
      </c>
      <c r="R119" s="138">
        <f>N119/0.4</f>
        <v>74.32500000000005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49412.6</v>
      </c>
      <c r="F120" s="174">
        <v>56114.63</v>
      </c>
      <c r="G120" s="49">
        <f t="shared" si="37"/>
        <v>6702.029999999999</v>
      </c>
      <c r="H120" s="40">
        <f t="shared" si="39"/>
        <v>113.56340285676123</v>
      </c>
      <c r="I120" s="53">
        <f t="shared" si="38"/>
        <v>-15861.360000000008</v>
      </c>
      <c r="J120" s="60">
        <f t="shared" si="40"/>
        <v>77.96298460083702</v>
      </c>
      <c r="K120" s="60">
        <f>F120-47624.2</f>
        <v>8490.43</v>
      </c>
      <c r="L120" s="138">
        <f>F120/47624.2</f>
        <v>1.1782797401321177</v>
      </c>
      <c r="M120" s="40">
        <f>E120-липень!E120</f>
        <v>8100</v>
      </c>
      <c r="N120" s="40">
        <f>F120-липень!F120</f>
        <v>9904.899999999994</v>
      </c>
      <c r="O120" s="53">
        <f t="shared" si="41"/>
        <v>1804.8999999999942</v>
      </c>
      <c r="P120" s="60">
        <f aca="true" t="shared" si="42" ref="P120:P125">N120/M120*100</f>
        <v>122.28271604938263</v>
      </c>
      <c r="Q120" s="60">
        <f>N120-7964.9</f>
        <v>1939.9999999999945</v>
      </c>
      <c r="R120" s="138">
        <f>N120/7964.9</f>
        <v>1.2435686574847136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1723</v>
      </c>
      <c r="F121" s="174">
        <v>1754.68</v>
      </c>
      <c r="G121" s="49">
        <f t="shared" si="37"/>
        <v>31.680000000000064</v>
      </c>
      <c r="H121" s="40">
        <f t="shared" si="39"/>
        <v>101.83865351131746</v>
      </c>
      <c r="I121" s="60">
        <f t="shared" si="38"/>
        <v>-2995.3199999999997</v>
      </c>
      <c r="J121" s="60">
        <f t="shared" si="40"/>
        <v>36.94063157894737</v>
      </c>
      <c r="K121" s="60">
        <f>F121-1122.3</f>
        <v>632.3800000000001</v>
      </c>
      <c r="L121" s="138">
        <f>F121/1122.3</f>
        <v>1.563467878463869</v>
      </c>
      <c r="M121" s="40">
        <f>E121-липень!E121</f>
        <v>40</v>
      </c>
      <c r="N121" s="40">
        <f>F121-липень!F121</f>
        <v>76.54999999999995</v>
      </c>
      <c r="O121" s="53">
        <f t="shared" si="41"/>
        <v>36.549999999999955</v>
      </c>
      <c r="P121" s="60">
        <f t="shared" si="42"/>
        <v>191.3749999999999</v>
      </c>
      <c r="Q121" s="60">
        <f>N121-1.4</f>
        <v>75.14999999999995</v>
      </c>
      <c r="R121" s="138">
        <f>N121/1.4</f>
        <v>54.6785714285714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9614</v>
      </c>
      <c r="F122" s="174">
        <v>2291.79</v>
      </c>
      <c r="G122" s="49">
        <f t="shared" si="37"/>
        <v>-7322.21</v>
      </c>
      <c r="H122" s="40">
        <f t="shared" si="39"/>
        <v>23.838048679009777</v>
      </c>
      <c r="I122" s="60">
        <f t="shared" si="38"/>
        <v>-20786.21</v>
      </c>
      <c r="J122" s="60">
        <f>F122/D122*100</f>
        <v>9.930626570760031</v>
      </c>
      <c r="K122" s="60">
        <f>F122-14737.3</f>
        <v>-12445.509999999998</v>
      </c>
      <c r="L122" s="138">
        <f>F122/14737.3</f>
        <v>0.15550948952657542</v>
      </c>
      <c r="M122" s="40">
        <f>E122-липень!E122</f>
        <v>2381.5</v>
      </c>
      <c r="N122" s="40">
        <f>F122-липень!F122</f>
        <v>55.820000000000164</v>
      </c>
      <c r="O122" s="53">
        <f t="shared" si="41"/>
        <v>-2325.68</v>
      </c>
      <c r="P122" s="60">
        <f t="shared" si="42"/>
        <v>2.3439009027923645</v>
      </c>
      <c r="Q122" s="60">
        <f>N122-560</f>
        <v>-504.17999999999984</v>
      </c>
      <c r="R122" s="138">
        <f>N122/560</f>
        <v>0.09967857142857173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1241.63</v>
      </c>
      <c r="F123" s="174">
        <v>864.62</v>
      </c>
      <c r="G123" s="49">
        <f t="shared" si="37"/>
        <v>-377.0100000000001</v>
      </c>
      <c r="H123" s="40">
        <f t="shared" si="39"/>
        <v>69.63588186496781</v>
      </c>
      <c r="I123" s="60">
        <f t="shared" si="38"/>
        <v>-1135.38</v>
      </c>
      <c r="J123" s="60">
        <f>F123/D123*100</f>
        <v>43.231</v>
      </c>
      <c r="K123" s="60">
        <f>F123-1640.1</f>
        <v>-775.4799999999999</v>
      </c>
      <c r="L123" s="138">
        <f>F123/1640.1</f>
        <v>0.5271751722455948</v>
      </c>
      <c r="M123" s="40">
        <f>E123-липень!E123</f>
        <v>189.59000000000015</v>
      </c>
      <c r="N123" s="40">
        <f>F123-липень!F123</f>
        <v>100.39999999999998</v>
      </c>
      <c r="O123" s="53">
        <f t="shared" si="41"/>
        <v>-89.19000000000017</v>
      </c>
      <c r="P123" s="60">
        <f t="shared" si="42"/>
        <v>52.95637955588369</v>
      </c>
      <c r="Q123" s="60">
        <f>N123-290.7</f>
        <v>-190.3</v>
      </c>
      <c r="R123" s="138">
        <f>N123/290.7</f>
        <v>0.34537323701410383</v>
      </c>
    </row>
    <row r="124" spans="2:18" ht="34.5">
      <c r="B124" s="37" t="s">
        <v>144</v>
      </c>
      <c r="C124" s="95"/>
      <c r="D124" s="38">
        <f>D120+D121+D122+D123+D119</f>
        <v>102071.19</v>
      </c>
      <c r="E124" s="38">
        <f>E120+E121+E122+E123+E119</f>
        <v>62173.729999999996</v>
      </c>
      <c r="F124" s="173">
        <f>F120+F121+F122+F123+F119</f>
        <v>61314.520000000004</v>
      </c>
      <c r="G124" s="62">
        <f t="shared" si="37"/>
        <v>-859.2099999999919</v>
      </c>
      <c r="H124" s="72">
        <f t="shared" si="39"/>
        <v>98.61804977761508</v>
      </c>
      <c r="I124" s="61">
        <f t="shared" si="38"/>
        <v>-40756.67</v>
      </c>
      <c r="J124" s="61">
        <f>F124/D124*100</f>
        <v>60.07034893979388</v>
      </c>
      <c r="K124" s="61">
        <f>F124-65296.9</f>
        <v>-3982.3799999999974</v>
      </c>
      <c r="L124" s="139">
        <f>F124/65296.9</f>
        <v>0.9390111934869803</v>
      </c>
      <c r="M124" s="62">
        <f>M120+M121+M122+M123+M119</f>
        <v>10711.09</v>
      </c>
      <c r="N124" s="62">
        <f>N120+N121+N122+N123+N119</f>
        <v>10167.399999999992</v>
      </c>
      <c r="O124" s="61">
        <f t="shared" si="41"/>
        <v>-543.6900000000078</v>
      </c>
      <c r="P124" s="61">
        <f t="shared" si="42"/>
        <v>94.92404601212381</v>
      </c>
      <c r="Q124" s="61">
        <f>N124-8817.5</f>
        <v>1349.8999999999924</v>
      </c>
      <c r="R124" s="139">
        <f>N124/8817.5</f>
        <v>1.153093280408278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23.16</v>
      </c>
      <c r="F125" s="174">
        <v>14.17</v>
      </c>
      <c r="G125" s="49">
        <f t="shared" si="37"/>
        <v>-8.99</v>
      </c>
      <c r="H125" s="40">
        <f t="shared" si="39"/>
        <v>61.183074265975826</v>
      </c>
      <c r="I125" s="60">
        <f t="shared" si="38"/>
        <v>-29.33</v>
      </c>
      <c r="J125" s="60">
        <f>F125/D125*100</f>
        <v>32.57471264367816</v>
      </c>
      <c r="K125" s="60">
        <f>F125-111.8</f>
        <v>-97.63</v>
      </c>
      <c r="L125" s="138">
        <f>F125/111.8</f>
        <v>0.12674418604651164</v>
      </c>
      <c r="M125" s="40">
        <f>E125-липень!E125</f>
        <v>4</v>
      </c>
      <c r="N125" s="40">
        <f>F125-липень!F125</f>
        <v>0</v>
      </c>
      <c r="O125" s="53">
        <f t="shared" si="41"/>
        <v>-4</v>
      </c>
      <c r="P125" s="60">
        <f t="shared" si="42"/>
        <v>0</v>
      </c>
      <c r="Q125" s="60">
        <f>N125-2.5</f>
        <v>-2.5</v>
      </c>
      <c r="R125" s="138">
        <f>N125/2.5</f>
        <v>0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174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E126-липень!E126</f>
        <v>0</v>
      </c>
      <c r="N126" s="40">
        <f>F126-липень!F126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174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E127-липень!E127</f>
        <v>0</v>
      </c>
      <c r="N127" s="40">
        <f>F127-липень!F127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6717.5</v>
      </c>
      <c r="F128" s="174">
        <v>7363.52</v>
      </c>
      <c r="G128" s="49">
        <f aca="true" t="shared" si="43" ref="G128:G135">F128-E128</f>
        <v>646.0200000000004</v>
      </c>
      <c r="H128" s="40">
        <f>F128/E128*100</f>
        <v>109.61697059918126</v>
      </c>
      <c r="I128" s="60">
        <f aca="true" t="shared" si="44" ref="I128:I135">F128-D128</f>
        <v>-1336.4799999999996</v>
      </c>
      <c r="J128" s="60">
        <f>F128/D128*100</f>
        <v>84.63816091954024</v>
      </c>
      <c r="K128" s="60">
        <f>F128-8680.2</f>
        <v>-1316.6800000000003</v>
      </c>
      <c r="L128" s="138">
        <f>F128/8680.2</f>
        <v>0.8483122508697956</v>
      </c>
      <c r="M128" s="40">
        <f>E128-липень!E128</f>
        <v>1702</v>
      </c>
      <c r="N128" s="40">
        <f>F128-липень!F128</f>
        <v>2055.3500000000004</v>
      </c>
      <c r="O128" s="53">
        <f aca="true" t="shared" si="45" ref="O128:O135">N128-M128</f>
        <v>353.35000000000036</v>
      </c>
      <c r="P128" s="60">
        <f>N128/M128*100</f>
        <v>120.7608695652174</v>
      </c>
      <c r="Q128" s="60">
        <f>N128-2359.4</f>
        <v>-304.0499999999997</v>
      </c>
      <c r="R128" s="162">
        <f>N128/2359.4</f>
        <v>0.8711324913113505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174">
        <v>0.85</v>
      </c>
      <c r="G129" s="49">
        <f t="shared" si="43"/>
        <v>0.85</v>
      </c>
      <c r="H129" s="40"/>
      <c r="I129" s="60">
        <f t="shared" si="44"/>
        <v>0.85</v>
      </c>
      <c r="J129" s="60"/>
      <c r="K129" s="60">
        <f>F129-0.3</f>
        <v>0.55</v>
      </c>
      <c r="L129" s="138">
        <f>F129/0.3</f>
        <v>2.8333333333333335</v>
      </c>
      <c r="M129" s="40">
        <f>E129-липень!E129</f>
        <v>0</v>
      </c>
      <c r="N129" s="40">
        <f>F129-липень!F129</f>
        <v>0.32999999999999996</v>
      </c>
      <c r="O129" s="53">
        <f t="shared" si="45"/>
        <v>0.32999999999999996</v>
      </c>
      <c r="P129" s="60"/>
      <c r="Q129" s="60">
        <f>N129-0.4</f>
        <v>-0.07000000000000006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6747.86</v>
      </c>
      <c r="F130" s="173">
        <f>F128+F125+F129+F127</f>
        <v>7398.02</v>
      </c>
      <c r="G130" s="62">
        <f t="shared" si="43"/>
        <v>650.1600000000008</v>
      </c>
      <c r="H130" s="72">
        <f>F130/E130*100</f>
        <v>109.63505466918402</v>
      </c>
      <c r="I130" s="61">
        <f t="shared" si="44"/>
        <v>-1352.6800000000003</v>
      </c>
      <c r="J130" s="61">
        <f>F130/D130*100</f>
        <v>84.54203663706903</v>
      </c>
      <c r="K130" s="61">
        <f>F130-8800.6</f>
        <v>-1402.58</v>
      </c>
      <c r="L130" s="139">
        <f>G130/8800.6</f>
        <v>0.0738767811285595</v>
      </c>
      <c r="M130" s="62">
        <f>M125+M128+M129+M127</f>
        <v>1706</v>
      </c>
      <c r="N130" s="62">
        <f>N125+N128+N129+N127</f>
        <v>2055.6800000000003</v>
      </c>
      <c r="O130" s="61">
        <f t="shared" si="45"/>
        <v>349.6800000000003</v>
      </c>
      <c r="P130" s="61">
        <f>N130/M130*100</f>
        <v>120.49706916764362</v>
      </c>
      <c r="Q130" s="61">
        <f>N130-2362.3</f>
        <v>-306.6199999999999</v>
      </c>
      <c r="R130" s="137">
        <f>N130/2362.3</f>
        <v>0.8702027684883377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16.45</v>
      </c>
      <c r="F131" s="174">
        <v>22.62</v>
      </c>
      <c r="G131" s="49">
        <f>F131-E131</f>
        <v>6.170000000000002</v>
      </c>
      <c r="H131" s="40">
        <f>F131/E131*100</f>
        <v>137.50759878419453</v>
      </c>
      <c r="I131" s="60">
        <f>F131-D131</f>
        <v>-7.379999999999999</v>
      </c>
      <c r="J131" s="60">
        <f>F131/D131*100</f>
        <v>75.4</v>
      </c>
      <c r="K131" s="60">
        <f>F131-17.7</f>
        <v>4.920000000000002</v>
      </c>
      <c r="L131" s="138">
        <f>F131/17.7</f>
        <v>1.2779661016949153</v>
      </c>
      <c r="M131" s="40">
        <f>E131-липень!E131</f>
        <v>0.3999999999999986</v>
      </c>
      <c r="N131" s="40">
        <f>F131-липень!F131</f>
        <v>0.22000000000000242</v>
      </c>
      <c r="O131" s="53">
        <f>N131-M131</f>
        <v>-0.17999999999999616</v>
      </c>
      <c r="P131" s="60">
        <f>N131/M131*100</f>
        <v>55.0000000000008</v>
      </c>
      <c r="Q131" s="60">
        <f>N131-0.5</f>
        <v>-0.2799999999999976</v>
      </c>
      <c r="R131" s="138">
        <f>N131/0.5</f>
        <v>0.44000000000000483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E132-липень!E132</f>
        <v>0</v>
      </c>
      <c r="N132" s="40">
        <f>F132-липень!F132</f>
        <v>0</v>
      </c>
      <c r="O132" s="53"/>
      <c r="P132" s="60"/>
      <c r="Q132" s="60">
        <f>N132-0.4</f>
        <v>-0.4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174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E133-липень!E133</f>
        <v>0</v>
      </c>
      <c r="N133" s="40">
        <f>F133-липень!F133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114791.49</v>
      </c>
      <c r="E134" s="31">
        <f>E117+E131+E124+E130+E133+E132</f>
        <v>71468.64</v>
      </c>
      <c r="F134" s="31">
        <f>F117+F131+F124+F130+F133+F132</f>
        <v>69927.04000000001</v>
      </c>
      <c r="G134" s="50">
        <f t="shared" si="43"/>
        <v>-1541.5999999999913</v>
      </c>
      <c r="H134" s="51">
        <f>F134/E134*100</f>
        <v>97.84297000754458</v>
      </c>
      <c r="I134" s="36">
        <f t="shared" si="44"/>
        <v>-44864.45</v>
      </c>
      <c r="J134" s="36">
        <f>F134/D134*100</f>
        <v>60.91657142877055</v>
      </c>
      <c r="K134" s="36">
        <f>F134-77238.6</f>
        <v>-7311.559999999998</v>
      </c>
      <c r="L134" s="136">
        <f>F134/77238.6</f>
        <v>0.9053380045728432</v>
      </c>
      <c r="M134" s="31">
        <f>M117+M131+M124+M130+M133+M132</f>
        <v>12766.99</v>
      </c>
      <c r="N134" s="31">
        <f>N117+N131+N124+N130+N133+N132</f>
        <v>12419.629999999992</v>
      </c>
      <c r="O134" s="36">
        <f t="shared" si="45"/>
        <v>-347.36000000000786</v>
      </c>
      <c r="P134" s="36">
        <f>N134/M134*100</f>
        <v>97.27923339800526</v>
      </c>
      <c r="Q134" s="36">
        <f>N134-11937.6</f>
        <v>482.02999999999156</v>
      </c>
      <c r="R134" s="136">
        <f>N134/11937.6</f>
        <v>1.0403791381852292</v>
      </c>
    </row>
    <row r="135" spans="2:18" ht="30.75" customHeight="1">
      <c r="B135" s="28" t="s">
        <v>115</v>
      </c>
      <c r="C135" s="96"/>
      <c r="D135" s="31">
        <f>D107+D134</f>
        <v>621671.09</v>
      </c>
      <c r="E135" s="31">
        <f>E107+E134</f>
        <v>394102.73000000004</v>
      </c>
      <c r="F135" s="31">
        <f>F107+F134</f>
        <v>387490.1399999999</v>
      </c>
      <c r="G135" s="50">
        <f t="shared" si="43"/>
        <v>-6612.590000000142</v>
      </c>
      <c r="H135" s="51">
        <f>F135/E135*100</f>
        <v>98.32211515002697</v>
      </c>
      <c r="I135" s="36">
        <f t="shared" si="44"/>
        <v>-234180.95000000007</v>
      </c>
      <c r="J135" s="36">
        <f>F135/D135*100</f>
        <v>62.330410120888835</v>
      </c>
      <c r="K135" s="36">
        <f>F135-396993.9</f>
        <v>-9503.760000000126</v>
      </c>
      <c r="L135" s="136">
        <f>F135/396993.9</f>
        <v>0.9760606901012834</v>
      </c>
      <c r="M135" s="22">
        <f>M107+M134</f>
        <v>55169.16999999999</v>
      </c>
      <c r="N135" s="22">
        <f>N107+N134</f>
        <v>53397.79999999998</v>
      </c>
      <c r="O135" s="36">
        <f t="shared" si="45"/>
        <v>-1771.37000000001</v>
      </c>
      <c r="P135" s="36">
        <f>N135/M135*100</f>
        <v>96.78920310020975</v>
      </c>
      <c r="Q135" s="36">
        <f>N135-52532.5</f>
        <v>865.2999999999811</v>
      </c>
      <c r="R135" s="136">
        <f>N135/52532.5</f>
        <v>1.0164717079902914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198"/>
      <c r="H138" s="198"/>
      <c r="I138" s="198"/>
      <c r="J138" s="198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41880</v>
      </c>
      <c r="D139" s="39">
        <v>5085.3</v>
      </c>
      <c r="N139" s="193"/>
      <c r="O139" s="193"/>
    </row>
    <row r="140" spans="3:15" ht="15.75">
      <c r="C140" s="120">
        <v>41879</v>
      </c>
      <c r="D140" s="39">
        <v>3653.6</v>
      </c>
      <c r="F140" s="4" t="s">
        <v>166</v>
      </c>
      <c r="G140" s="189" t="s">
        <v>151</v>
      </c>
      <c r="H140" s="189"/>
      <c r="I140" s="115">
        <v>13829.857960000001</v>
      </c>
      <c r="J140" s="190" t="s">
        <v>161</v>
      </c>
      <c r="K140" s="190"/>
      <c r="L140" s="190"/>
      <c r="M140" s="190"/>
      <c r="N140" s="193"/>
      <c r="O140" s="193"/>
    </row>
    <row r="141" spans="3:15" ht="15.75">
      <c r="C141" s="120">
        <v>41878</v>
      </c>
      <c r="D141" s="39">
        <v>1194.3</v>
      </c>
      <c r="G141" s="191" t="s">
        <v>155</v>
      </c>
      <c r="H141" s="191"/>
      <c r="I141" s="112">
        <v>0</v>
      </c>
      <c r="J141" s="192" t="s">
        <v>162</v>
      </c>
      <c r="K141" s="192"/>
      <c r="L141" s="192"/>
      <c r="M141" s="192"/>
      <c r="N141" s="193"/>
      <c r="O141" s="193"/>
    </row>
    <row r="142" spans="7:13" ht="15.75" customHeight="1">
      <c r="G142" s="189" t="s">
        <v>148</v>
      </c>
      <c r="H142" s="189"/>
      <c r="I142" s="112">
        <v>0</v>
      </c>
      <c r="J142" s="190" t="s">
        <v>163</v>
      </c>
      <c r="K142" s="190"/>
      <c r="L142" s="190"/>
      <c r="M142" s="190"/>
    </row>
    <row r="143" spans="2:13" ht="18.75" customHeight="1">
      <c r="B143" s="187" t="s">
        <v>160</v>
      </c>
      <c r="C143" s="188"/>
      <c r="D143" s="117">
        <v>127799.14</v>
      </c>
      <c r="E143" s="80"/>
      <c r="F143" s="100" t="s">
        <v>147</v>
      </c>
      <c r="G143" s="189" t="s">
        <v>149</v>
      </c>
      <c r="H143" s="189"/>
      <c r="I143" s="116">
        <v>113969.28</v>
      </c>
      <c r="J143" s="190" t="s">
        <v>164</v>
      </c>
      <c r="K143" s="190"/>
      <c r="L143" s="190"/>
      <c r="M143" s="190"/>
    </row>
    <row r="144" spans="7:12" ht="9.75" customHeight="1">
      <c r="G144" s="183"/>
      <c r="H144" s="183"/>
      <c r="I144" s="98"/>
      <c r="J144" s="99"/>
      <c r="K144" s="99"/>
      <c r="L144" s="99"/>
    </row>
    <row r="145" spans="2:12" ht="22.5" customHeight="1">
      <c r="B145" s="184" t="s">
        <v>169</v>
      </c>
      <c r="C145" s="185"/>
      <c r="D145" s="119">
        <v>18493.9</v>
      </c>
      <c r="E145" s="77" t="s">
        <v>104</v>
      </c>
      <c r="G145" s="183"/>
      <c r="H145" s="183"/>
      <c r="I145" s="98"/>
      <c r="J145" s="99"/>
      <c r="K145" s="99"/>
      <c r="L145" s="99"/>
    </row>
    <row r="146" spans="4:15" ht="15.75">
      <c r="D146" s="114"/>
      <c r="N146" s="183"/>
      <c r="O146" s="183"/>
    </row>
    <row r="147" spans="4:15" ht="15.75">
      <c r="D147" s="113"/>
      <c r="I147" s="39"/>
      <c r="N147" s="186"/>
      <c r="O147" s="186"/>
    </row>
    <row r="148" spans="14:15" ht="15.75">
      <c r="N148" s="183"/>
      <c r="O148" s="183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18" right="0.15" top="0.27" bottom="0.24" header="0.18" footer="0.17"/>
  <pageSetup fitToHeight="1" fitToWidth="1" horizontalDpi="600" verticalDpi="600" orientation="portrait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F10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M108" sqref="M10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2.1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09" t="s">
        <v>256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126"/>
      <c r="R1" s="127"/>
    </row>
    <row r="2" spans="2:18" s="1" customFormat="1" ht="15.75" customHeight="1">
      <c r="B2" s="210"/>
      <c r="C2" s="210"/>
      <c r="D2" s="21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211"/>
      <c r="B3" s="176"/>
      <c r="C3" s="177" t="s">
        <v>0</v>
      </c>
      <c r="D3" s="178" t="s">
        <v>224</v>
      </c>
      <c r="E3" s="178"/>
      <c r="F3" s="179" t="s">
        <v>107</v>
      </c>
      <c r="G3" s="180"/>
      <c r="H3" s="180"/>
      <c r="I3" s="180"/>
      <c r="J3" s="180"/>
      <c r="K3" s="180"/>
      <c r="L3" s="212"/>
      <c r="M3" s="213" t="s">
        <v>225</v>
      </c>
      <c r="N3" s="215" t="s">
        <v>252</v>
      </c>
      <c r="O3" s="215"/>
      <c r="P3" s="215"/>
      <c r="Q3" s="215"/>
      <c r="R3" s="215"/>
    </row>
    <row r="4" spans="1:18" ht="22.5" customHeight="1">
      <c r="A4" s="211"/>
      <c r="B4" s="176"/>
      <c r="C4" s="177"/>
      <c r="D4" s="178"/>
      <c r="E4" s="178"/>
      <c r="F4" s="216" t="s">
        <v>116</v>
      </c>
      <c r="G4" s="203" t="s">
        <v>249</v>
      </c>
      <c r="H4" s="205" t="s">
        <v>250</v>
      </c>
      <c r="I4" s="201" t="s">
        <v>188</v>
      </c>
      <c r="J4" s="207" t="s">
        <v>189</v>
      </c>
      <c r="K4" s="194" t="s">
        <v>254</v>
      </c>
      <c r="L4" s="195"/>
      <c r="M4" s="214"/>
      <c r="N4" s="199" t="s">
        <v>257</v>
      </c>
      <c r="O4" s="201" t="s">
        <v>136</v>
      </c>
      <c r="P4" s="201" t="s">
        <v>135</v>
      </c>
      <c r="Q4" s="194" t="s">
        <v>255</v>
      </c>
      <c r="R4" s="195"/>
    </row>
    <row r="5" spans="1:18" ht="82.5" customHeight="1">
      <c r="A5" s="175"/>
      <c r="B5" s="176"/>
      <c r="C5" s="177"/>
      <c r="D5" s="150" t="s">
        <v>209</v>
      </c>
      <c r="E5" s="158" t="s">
        <v>248</v>
      </c>
      <c r="F5" s="217"/>
      <c r="G5" s="204"/>
      <c r="H5" s="206"/>
      <c r="I5" s="202"/>
      <c r="J5" s="208"/>
      <c r="K5" s="196"/>
      <c r="L5" s="197"/>
      <c r="M5" s="151" t="s">
        <v>251</v>
      </c>
      <c r="N5" s="200"/>
      <c r="O5" s="202"/>
      <c r="P5" s="202"/>
      <c r="Q5" s="196"/>
      <c r="R5" s="197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271234.70999999996</v>
      </c>
      <c r="F8" s="22">
        <f>F10+F19+F33+F56+F68+F30</f>
        <v>269125.2800000001</v>
      </c>
      <c r="G8" s="22">
        <f aca="true" t="shared" si="0" ref="G8:G30">F8-E8</f>
        <v>-2109.4299999998766</v>
      </c>
      <c r="H8" s="51">
        <f>F8/E8*100</f>
        <v>99.22228611522476</v>
      </c>
      <c r="I8" s="36">
        <f aca="true" t="shared" si="1" ref="I8:I17">F8-D8</f>
        <v>-219351.0199999999</v>
      </c>
      <c r="J8" s="36">
        <f aca="true" t="shared" si="2" ref="J8:J14">F8/D8*100</f>
        <v>55.0948490233815</v>
      </c>
      <c r="K8" s="36">
        <f>F8-267884.5</f>
        <v>1240.7800000000861</v>
      </c>
      <c r="L8" s="136">
        <f>F8/267884.5</f>
        <v>1.004631772274992</v>
      </c>
      <c r="M8" s="22">
        <f>M10+M19+M33+M56+M68+M30</f>
        <v>37968.180000000015</v>
      </c>
      <c r="N8" s="22">
        <f>N10+N19+N33+N56+N68+N30</f>
        <v>42706.26</v>
      </c>
      <c r="O8" s="36">
        <f aca="true" t="shared" si="3" ref="O8:O71">N8-M8</f>
        <v>4738.079999999987</v>
      </c>
      <c r="P8" s="36">
        <f>F8/M8*100</f>
        <v>708.8179628309811</v>
      </c>
      <c r="Q8" s="36">
        <f>N8-39945.7</f>
        <v>2760.560000000005</v>
      </c>
      <c r="R8" s="134">
        <f>N8/39945.7</f>
        <v>1.0691078138573114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217885.62</v>
      </c>
      <c r="G9" s="22">
        <f t="shared" si="0"/>
        <v>217885.62</v>
      </c>
      <c r="H9" s="20"/>
      <c r="I9" s="56">
        <f t="shared" si="1"/>
        <v>-169127.58000000002</v>
      </c>
      <c r="J9" s="56">
        <f t="shared" si="2"/>
        <v>56.29927351315148</v>
      </c>
      <c r="K9" s="56"/>
      <c r="L9" s="135"/>
      <c r="M9" s="20">
        <f>M10+M17</f>
        <v>30824.800000000017</v>
      </c>
      <c r="N9" s="20">
        <f>N10+N17</f>
        <v>34887.48999999999</v>
      </c>
      <c r="O9" s="36">
        <f t="shared" si="3"/>
        <v>4062.689999999973</v>
      </c>
      <c r="P9" s="56">
        <f>F9/M9*100</f>
        <v>706.8516908463312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221371.1</v>
      </c>
      <c r="F10" s="40">
        <v>217885.62</v>
      </c>
      <c r="G10" s="49">
        <f t="shared" si="0"/>
        <v>-3485.4800000000105</v>
      </c>
      <c r="H10" s="40">
        <f aca="true" t="shared" si="4" ref="H10:H17">F10/E10*100</f>
        <v>98.42550360006341</v>
      </c>
      <c r="I10" s="56">
        <f t="shared" si="1"/>
        <v>-169127.58000000002</v>
      </c>
      <c r="J10" s="56">
        <f t="shared" si="2"/>
        <v>56.29927351315148</v>
      </c>
      <c r="K10" s="141">
        <f>F10-211325.8</f>
        <v>6559.820000000007</v>
      </c>
      <c r="L10" s="142">
        <f>F10/211325.8</f>
        <v>1.031041264246959</v>
      </c>
      <c r="M10" s="40">
        <f>E10-червень!E10</f>
        <v>30824.800000000017</v>
      </c>
      <c r="N10" s="40">
        <f>F10-червень!F10</f>
        <v>34887.48999999999</v>
      </c>
      <c r="O10" s="53">
        <f t="shared" si="3"/>
        <v>4062.689999999973</v>
      </c>
      <c r="P10" s="56">
        <f aca="true" t="shared" si="5" ref="P10:P17">N10/M10*100</f>
        <v>113.17993952921015</v>
      </c>
      <c r="Q10" s="141">
        <f>N10-32192.1</f>
        <v>2695.389999999992</v>
      </c>
      <c r="R10" s="142">
        <f>N10/32192.1</f>
        <v>1.0837283060129657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E11-червень!E11</f>
        <v>0</v>
      </c>
      <c r="N11" s="40">
        <f>F11-червень!F11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E12-червень!E12</f>
        <v>0</v>
      </c>
      <c r="N12" s="40">
        <f>F12-червень!F12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E13-червень!E13</f>
        <v>0</v>
      </c>
      <c r="N13" s="40">
        <f>F13-червень!F13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E14-червень!E14</f>
        <v>0</v>
      </c>
      <c r="N14" s="40">
        <f>F14-червень!F14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E15-червень!E15</f>
        <v>0</v>
      </c>
      <c r="N15" s="40">
        <f>F15-червень!F15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E16-червень!E16</f>
        <v>0</v>
      </c>
      <c r="N16" s="40">
        <f>F16-червень!F16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E17-червень!E17</f>
        <v>0</v>
      </c>
      <c r="N17" s="40">
        <f>F17-червень!F17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E18-червень!E18</f>
        <v>0</v>
      </c>
      <c r="N18" s="40">
        <f>F18-червень!F18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1033.6</v>
      </c>
      <c r="F19" s="40">
        <v>349.38</v>
      </c>
      <c r="G19" s="49">
        <f t="shared" si="0"/>
        <v>-684.2199999999999</v>
      </c>
      <c r="H19" s="40">
        <f aca="true" t="shared" si="6" ref="H19:H29">F19/E19*100</f>
        <v>33.80224458204334</v>
      </c>
      <c r="I19" s="56">
        <f aca="true" t="shared" si="7" ref="I19:I29">F19-D19</f>
        <v>-650.62</v>
      </c>
      <c r="J19" s="56">
        <f aca="true" t="shared" si="8" ref="J19:J29">F19/D19*100</f>
        <v>34.937999999999995</v>
      </c>
      <c r="K19" s="56">
        <f>F19-6042.8</f>
        <v>-5693.42</v>
      </c>
      <c r="L19" s="135">
        <f>F19/6042.8</f>
        <v>0.05781756801482756</v>
      </c>
      <c r="M19" s="40">
        <f>E19-червень!E19</f>
        <v>10.999999999999886</v>
      </c>
      <c r="N19" s="40">
        <f>F19-червень!F19</f>
        <v>31.50999999999999</v>
      </c>
      <c r="O19" s="53">
        <f t="shared" si="3"/>
        <v>20.510000000000105</v>
      </c>
      <c r="P19" s="56">
        <f aca="true" t="shared" si="9" ref="P19:P29">N19/M19*100</f>
        <v>286.45454545454834</v>
      </c>
      <c r="Q19" s="56">
        <f>N19-422.4</f>
        <v>-390.89</v>
      </c>
      <c r="R19" s="135">
        <f>N19/422.4</f>
        <v>0.07459753787878787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E20-червень!E20</f>
        <v>0</v>
      </c>
      <c r="N20" s="40">
        <f>F20-червень!F20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E21-червень!E21</f>
        <v>0</v>
      </c>
      <c r="N21" s="40">
        <f>F21-червень!F21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E22-червень!E22</f>
        <v>0</v>
      </c>
      <c r="N22" s="40">
        <f>F22-червень!F22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E23-червень!E23</f>
        <v>0</v>
      </c>
      <c r="N23" s="40">
        <f>F23-червень!F23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E24-червень!E24</f>
        <v>0</v>
      </c>
      <c r="N24" s="40">
        <f>F24-червень!F24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E25-червень!E25</f>
        <v>0</v>
      </c>
      <c r="N25" s="40">
        <f>F25-червень!F25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E26-червень!E26</f>
        <v>0</v>
      </c>
      <c r="N26" s="40">
        <f>F26-червень!F26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E27-червень!E27</f>
        <v>0</v>
      </c>
      <c r="N27" s="40">
        <f>F27-червень!F27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E28-червень!E28</f>
        <v>0</v>
      </c>
      <c r="N28" s="40">
        <f>F28-червень!F28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733.6</v>
      </c>
      <c r="F29" s="146">
        <v>850.64</v>
      </c>
      <c r="G29" s="49">
        <f t="shared" si="0"/>
        <v>117.03999999999996</v>
      </c>
      <c r="H29" s="40">
        <f t="shared" si="6"/>
        <v>115.95419847328243</v>
      </c>
      <c r="I29" s="56">
        <f t="shared" si="7"/>
        <v>-79.36000000000001</v>
      </c>
      <c r="J29" s="56">
        <f t="shared" si="8"/>
        <v>91.46666666666667</v>
      </c>
      <c r="K29" s="148">
        <f>F29-2423.68</f>
        <v>-1573.04</v>
      </c>
      <c r="L29" s="149">
        <f>F29/2423.68</f>
        <v>0.3509704251386322</v>
      </c>
      <c r="M29" s="40">
        <f>E29-червень!E29</f>
        <v>-29</v>
      </c>
      <c r="N29" s="40">
        <f>F29-червень!F29</f>
        <v>22.49000000000001</v>
      </c>
      <c r="O29" s="148">
        <f t="shared" si="3"/>
        <v>51.49000000000001</v>
      </c>
      <c r="P29" s="145">
        <f t="shared" si="9"/>
        <v>-77.55172413793106</v>
      </c>
      <c r="Q29" s="148">
        <f>N29-422.37</f>
        <v>-399.88</v>
      </c>
      <c r="R29" s="149">
        <f>N29/422.37</f>
        <v>0.05324715297014468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18.5</v>
      </c>
      <c r="F30" s="40">
        <v>3.32</v>
      </c>
      <c r="G30" s="49">
        <f t="shared" si="0"/>
        <v>-15.18</v>
      </c>
      <c r="H30" s="40"/>
      <c r="I30" s="56"/>
      <c r="J30" s="56"/>
      <c r="K30" s="56">
        <f>F30-25.1</f>
        <v>-21.78</v>
      </c>
      <c r="L30" s="149">
        <f>F30/25.1</f>
        <v>0.13227091633466134</v>
      </c>
      <c r="M30" s="40">
        <f>E30-червень!E30</f>
        <v>0.5</v>
      </c>
      <c r="N30" s="40">
        <f>F30-червень!F30</f>
        <v>0.4099999999999997</v>
      </c>
      <c r="O30" s="53">
        <f t="shared" si="3"/>
        <v>-0.0900000000000003</v>
      </c>
      <c r="P30" s="56"/>
      <c r="Q30" s="56">
        <f>N30-0</f>
        <v>0.4099999999999997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E31-червень!E31</f>
        <v>0</v>
      </c>
      <c r="N31" s="40">
        <f>F31-червень!F31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E32-червень!E32</f>
        <v>0</v>
      </c>
      <c r="N32" s="40">
        <f>F32-червень!F32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44861.11</v>
      </c>
      <c r="F33" s="40">
        <v>47102.16</v>
      </c>
      <c r="G33" s="49">
        <f aca="true" t="shared" si="14" ref="G33:G72">F33-E33</f>
        <v>2241.050000000003</v>
      </c>
      <c r="H33" s="40">
        <f aca="true" t="shared" si="15" ref="H33:H67">F33/E33*100</f>
        <v>104.995529535493</v>
      </c>
      <c r="I33" s="56">
        <f>F33-D33</f>
        <v>-46463.84</v>
      </c>
      <c r="J33" s="56">
        <f aca="true" t="shared" si="16" ref="J33:J72">F33/D33*100</f>
        <v>50.341106812303615</v>
      </c>
      <c r="K33" s="141">
        <f>F33-46836.9</f>
        <v>265.26000000000204</v>
      </c>
      <c r="L33" s="142">
        <f>F33/46836.9</f>
        <v>1.0056634832792093</v>
      </c>
      <c r="M33" s="40">
        <f>E33-червень!E33</f>
        <v>6579.879999999997</v>
      </c>
      <c r="N33" s="40">
        <f>F33-червень!F33</f>
        <v>7269.100000000006</v>
      </c>
      <c r="O33" s="53">
        <f t="shared" si="3"/>
        <v>689.2200000000084</v>
      </c>
      <c r="P33" s="56">
        <f aca="true" t="shared" si="17" ref="P33:P67">N33/M33*100</f>
        <v>110.47465911232437</v>
      </c>
      <c r="Q33" s="141">
        <f>N33-6866.9</f>
        <v>402.2000000000062</v>
      </c>
      <c r="R33" s="142">
        <f>N33/6866.9</f>
        <v>1.0585708252632202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E34-червень!E34</f>
        <v>0</v>
      </c>
      <c r="N34" s="40">
        <f>F34-червень!F34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E35-червень!E35</f>
        <v>0</v>
      </c>
      <c r="N35" s="40">
        <f>F35-червень!F35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E36-червень!E36</f>
        <v>0</v>
      </c>
      <c r="N36" s="40">
        <f>F36-червень!F36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E37-червень!E37</f>
        <v>0</v>
      </c>
      <c r="N37" s="40">
        <f>F37-червень!F37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E38-червень!E38</f>
        <v>0</v>
      </c>
      <c r="N38" s="40">
        <f>F38-червень!F38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E39-червень!E39</f>
        <v>0</v>
      </c>
      <c r="N39" s="40">
        <f>F39-червень!F39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E40-червень!E40</f>
        <v>0</v>
      </c>
      <c r="N40" s="40">
        <f>F40-червень!F40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E41-червень!E41</f>
        <v>0</v>
      </c>
      <c r="N41" s="40">
        <f>F41-червень!F41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E42-червень!E42</f>
        <v>0</v>
      </c>
      <c r="N42" s="40">
        <f>F42-червень!F42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E43-червень!E43</f>
        <v>0</v>
      </c>
      <c r="N43" s="40">
        <f>F43-червень!F43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E44-червень!E44</f>
        <v>0</v>
      </c>
      <c r="N44" s="40">
        <f>F44-червень!F44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E45-червень!E45</f>
        <v>0</v>
      </c>
      <c r="N45" s="40">
        <f>F45-червень!F45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E46-червень!E46</f>
        <v>0</v>
      </c>
      <c r="N46" s="40">
        <f>F46-червень!F46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E47-червень!E47</f>
        <v>0</v>
      </c>
      <c r="N47" s="40">
        <f>F47-червень!F47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E48-червень!E48</f>
        <v>0</v>
      </c>
      <c r="N48" s="40">
        <f>F48-червень!F48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E49-червень!E49</f>
        <v>0</v>
      </c>
      <c r="N49" s="40">
        <f>F49-червень!F49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E50-червень!E50</f>
        <v>0</v>
      </c>
      <c r="N50" s="40">
        <f>F50-червень!F50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E51-червень!E51</f>
        <v>0</v>
      </c>
      <c r="N51" s="40">
        <f>F51-червень!F51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E52-червень!E52</f>
        <v>0</v>
      </c>
      <c r="N52" s="40">
        <f>F52-червень!F52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E53-червень!E53</f>
        <v>0</v>
      </c>
      <c r="N53" s="40">
        <f>F53-червень!F53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E54-червень!E54</f>
        <v>0</v>
      </c>
      <c r="N54" s="40">
        <f>F54-червень!F54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33110.81</v>
      </c>
      <c r="F55" s="146">
        <v>34882.9</v>
      </c>
      <c r="G55" s="144">
        <f t="shared" si="14"/>
        <v>1772.0900000000038</v>
      </c>
      <c r="H55" s="146">
        <f t="shared" si="15"/>
        <v>105.35199833528688</v>
      </c>
      <c r="I55" s="145">
        <f t="shared" si="18"/>
        <v>-35383.1</v>
      </c>
      <c r="J55" s="145">
        <f t="shared" si="16"/>
        <v>49.644066831753626</v>
      </c>
      <c r="K55" s="148">
        <f>F55-33694.14</f>
        <v>1188.760000000002</v>
      </c>
      <c r="L55" s="149">
        <f>F55/33694.14</f>
        <v>1.035280912348557</v>
      </c>
      <c r="M55" s="40">
        <f>E55-червень!E55</f>
        <v>4779.879999999997</v>
      </c>
      <c r="N55" s="40">
        <f>F55-червень!F55</f>
        <v>5116.310000000001</v>
      </c>
      <c r="O55" s="148">
        <f t="shared" si="3"/>
        <v>336.43000000000393</v>
      </c>
      <c r="P55" s="148">
        <f t="shared" si="17"/>
        <v>107.03846121659966</v>
      </c>
      <c r="Q55" s="163">
        <f>N55-4878.99</f>
        <v>237.32000000000153</v>
      </c>
      <c r="R55" s="164">
        <f>N55/4878.99</f>
        <v>1.0486412146776283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3950.3</v>
      </c>
      <c r="F56" s="40">
        <f>12.88+3770.89</f>
        <v>3783.77</v>
      </c>
      <c r="G56" s="49">
        <f t="shared" si="14"/>
        <v>-166.5300000000002</v>
      </c>
      <c r="H56" s="40">
        <f t="shared" si="15"/>
        <v>95.78437080728045</v>
      </c>
      <c r="I56" s="56">
        <f t="shared" si="18"/>
        <v>-3076.23</v>
      </c>
      <c r="J56" s="56">
        <f t="shared" si="16"/>
        <v>55.15699708454811</v>
      </c>
      <c r="K56" s="56">
        <f>F56-3653.5</f>
        <v>130.26999999999998</v>
      </c>
      <c r="L56" s="135">
        <f>F56/3653.5</f>
        <v>1.0356562200629533</v>
      </c>
      <c r="M56" s="40">
        <f>E56-червень!E56</f>
        <v>552</v>
      </c>
      <c r="N56" s="40">
        <f>F56-червень!F56</f>
        <v>517.6999999999998</v>
      </c>
      <c r="O56" s="53">
        <f t="shared" si="3"/>
        <v>-34.30000000000018</v>
      </c>
      <c r="P56" s="56">
        <f t="shared" si="17"/>
        <v>93.78623188405794</v>
      </c>
      <c r="Q56" s="56">
        <f>N56-464.2</f>
        <v>53.49999999999983</v>
      </c>
      <c r="R56" s="135">
        <f>N56/464.2</f>
        <v>1.115252046531667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E57-червень!E57</f>
        <v>0</v>
      </c>
      <c r="N57" s="40">
        <f>F57-червень!F57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E58-червень!E58</f>
        <v>0</v>
      </c>
      <c r="N58" s="40">
        <f>F58-червень!F58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E59-червень!E59</f>
        <v>0</v>
      </c>
      <c r="N59" s="40">
        <f>F59-червень!F59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E60-червень!E60</f>
        <v>0</v>
      </c>
      <c r="N60" s="40">
        <f>F60-червень!F60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E61-червень!E61</f>
        <v>0</v>
      </c>
      <c r="N61" s="40">
        <f>F61-червень!F61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E62-червень!E62</f>
        <v>0</v>
      </c>
      <c r="N62" s="40">
        <f>F62-червень!F62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E63-червень!E63</f>
        <v>0</v>
      </c>
      <c r="N63" s="40">
        <f>F63-червень!F63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E64-червень!E64</f>
        <v>0</v>
      </c>
      <c r="N64" s="40">
        <f>F64-червень!F64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E65-червень!E65</f>
        <v>0</v>
      </c>
      <c r="N65" s="40">
        <f>F65-червень!F65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E66-червень!E66</f>
        <v>0</v>
      </c>
      <c r="N66" s="40">
        <f>F66-червень!F66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E67-червень!E67</f>
        <v>0</v>
      </c>
      <c r="N67" s="40">
        <f>F67-червень!F67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1.03</v>
      </c>
      <c r="G68" s="49">
        <f t="shared" si="14"/>
        <v>0.93</v>
      </c>
      <c r="H68" s="40"/>
      <c r="I68" s="56">
        <f t="shared" si="18"/>
        <v>0.93</v>
      </c>
      <c r="J68" s="56">
        <f t="shared" si="16"/>
        <v>1030</v>
      </c>
      <c r="K68" s="56">
        <f>F68-0.5</f>
        <v>0.53</v>
      </c>
      <c r="L68" s="135"/>
      <c r="M68" s="40">
        <f>E68-червень!E68</f>
        <v>0</v>
      </c>
      <c r="N68" s="40">
        <f>F68-червень!F68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8979</v>
      </c>
      <c r="F74" s="22">
        <f>F77+F86+F88+F89+F94+F95+F96+F97+F99+F104+F87+F103</f>
        <v>7444.139999999999</v>
      </c>
      <c r="G74" s="50">
        <f aca="true" t="shared" si="24" ref="G74:G92">F74-E74</f>
        <v>-1534.8600000000006</v>
      </c>
      <c r="H74" s="51">
        <f aca="true" t="shared" si="25" ref="H74:H87">F74/E74*100</f>
        <v>82.90611426662211</v>
      </c>
      <c r="I74" s="36">
        <f aca="true" t="shared" si="26" ref="I74:I92">F74-D74</f>
        <v>-10914.16</v>
      </c>
      <c r="J74" s="36">
        <f aca="true" t="shared" si="27" ref="J74:J92">F74/D74*100</f>
        <v>40.549179390248554</v>
      </c>
      <c r="K74" s="36">
        <f>F74-11260</f>
        <v>-3815.8600000000006</v>
      </c>
      <c r="L74" s="136">
        <f>F74/11260</f>
        <v>0.6611136767317939</v>
      </c>
      <c r="M74" s="22">
        <f>M77+M86+M88+M89+M94+M95+M96+M97+M99+M87+M104</f>
        <v>1550.5</v>
      </c>
      <c r="N74" s="22">
        <f>N77+N86+N88+N89+N94+N95+N96+N97+N99+N32+N104+N87+N103</f>
        <v>1102.5600000000004</v>
      </c>
      <c r="O74" s="55">
        <f aca="true" t="shared" si="28" ref="O74:O92">N74-M74</f>
        <v>-447.9399999999996</v>
      </c>
      <c r="P74" s="36">
        <f>N74/M74*100</f>
        <v>71.10996452757178</v>
      </c>
      <c r="Q74" s="36">
        <f>N74-2110.7</f>
        <v>-1008.1399999999994</v>
      </c>
      <c r="R74" s="136">
        <f>N74/2110.7</f>
        <v>0.5223669872554131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106.29</v>
      </c>
      <c r="G77" s="49">
        <f t="shared" si="24"/>
        <v>46.290000000000006</v>
      </c>
      <c r="H77" s="40">
        <f t="shared" si="25"/>
        <v>177.15</v>
      </c>
      <c r="I77" s="56">
        <f t="shared" si="26"/>
        <v>-393.71</v>
      </c>
      <c r="J77" s="56">
        <f t="shared" si="27"/>
        <v>21.258000000000003</v>
      </c>
      <c r="K77" s="56">
        <f>F77-1684.2</f>
        <v>-1577.91</v>
      </c>
      <c r="L77" s="135">
        <f>F77/1684.2</f>
        <v>0.06311008193801211</v>
      </c>
      <c r="M77" s="40">
        <f>E77-червень!E77</f>
        <v>0</v>
      </c>
      <c r="N77" s="40">
        <f>F77-червень!F77</f>
        <v>1.1000000000000085</v>
      </c>
      <c r="O77" s="53">
        <f t="shared" si="28"/>
        <v>1.1000000000000085</v>
      </c>
      <c r="P77" s="56" t="e">
        <f aca="true" t="shared" si="29" ref="P77:P87">N77/M77*100</f>
        <v>#DIV/0!</v>
      </c>
      <c r="Q77" s="56">
        <f>N77-14.3</f>
        <v>-13.199999999999992</v>
      </c>
      <c r="R77" s="135">
        <f>N77/14.3</f>
        <v>0.07692307692307751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E78-червень!E78</f>
        <v>0</v>
      </c>
      <c r="N78" s="40">
        <f>F78-червень!F78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E79-червень!E79</f>
        <v>0</v>
      </c>
      <c r="N79" s="40">
        <f>F79-червень!F79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E80-червень!E80</f>
        <v>0</v>
      </c>
      <c r="N80" s="40">
        <f>F80-червень!F80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E81-червень!E81</f>
        <v>0</v>
      </c>
      <c r="N81" s="40">
        <f>F81-червень!F81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E82-червень!E82</f>
        <v>0</v>
      </c>
      <c r="N82" s="40">
        <f>F82-червень!F82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E83-червень!E83</f>
        <v>0</v>
      </c>
      <c r="N83" s="40">
        <f>F83-червень!F83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E84-червень!E84</f>
        <v>0</v>
      </c>
      <c r="N84" s="40">
        <f>F84-червень!F84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E85-червень!E85</f>
        <v>0</v>
      </c>
      <c r="N85" s="40">
        <f>F85-червень!F85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1640</v>
      </c>
      <c r="F86" s="57">
        <v>0</v>
      </c>
      <c r="G86" s="49">
        <f t="shared" si="24"/>
        <v>-1640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F86-1660.6</f>
        <v>-1660.6</v>
      </c>
      <c r="L86" s="135">
        <f>F86/1660.6</f>
        <v>0</v>
      </c>
      <c r="M86" s="40">
        <f>E86-червень!E86</f>
        <v>480</v>
      </c>
      <c r="N86" s="40">
        <f>F86-червень!F86</f>
        <v>0</v>
      </c>
      <c r="O86" s="53">
        <f t="shared" si="28"/>
        <v>-480</v>
      </c>
      <c r="P86" s="56">
        <f t="shared" si="29"/>
        <v>0</v>
      </c>
      <c r="Q86" s="56">
        <f>N86-476</f>
        <v>-476</v>
      </c>
      <c r="R86" s="135">
        <f>N86/476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>
        <f>F87-189.7</f>
        <v>24.880000000000024</v>
      </c>
      <c r="L87" s="135">
        <f>F87/189.7</f>
        <v>1.131154454401687</v>
      </c>
      <c r="M87" s="40">
        <f>E87-червень!E87</f>
        <v>0</v>
      </c>
      <c r="N87" s="40">
        <f>F87-червень!F87</f>
        <v>0</v>
      </c>
      <c r="O87" s="53">
        <f t="shared" si="28"/>
        <v>0</v>
      </c>
      <c r="P87" s="56" t="e">
        <f t="shared" si="29"/>
        <v>#DIV/0!</v>
      </c>
      <c r="Q87" s="56">
        <f>N87-189.7</f>
        <v>-189.7</v>
      </c>
      <c r="R87" s="135">
        <f>N87/189.7</f>
        <v>0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2.5</v>
      </c>
      <c r="F88" s="57">
        <v>5.6</v>
      </c>
      <c r="G88" s="49">
        <f t="shared" si="24"/>
        <v>3.0999999999999996</v>
      </c>
      <c r="H88" s="40">
        <f>F88/E88*100</f>
        <v>223.99999999999997</v>
      </c>
      <c r="I88" s="56">
        <f t="shared" si="26"/>
        <v>0.5</v>
      </c>
      <c r="J88" s="56">
        <f t="shared" si="27"/>
        <v>109.80392156862746</v>
      </c>
      <c r="K88" s="56">
        <f>F88-1.5</f>
        <v>4.1</v>
      </c>
      <c r="L88" s="135"/>
      <c r="M88" s="40">
        <f>E88-червень!E88</f>
        <v>0.5</v>
      </c>
      <c r="N88" s="40">
        <f>F88-червень!F88</f>
        <v>0</v>
      </c>
      <c r="O88" s="53">
        <f t="shared" si="28"/>
        <v>-0.5</v>
      </c>
      <c r="P88" s="56">
        <f>N88/M88*100</f>
        <v>0</v>
      </c>
      <c r="Q88" s="56">
        <f>N88-1.4</f>
        <v>-1.4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99</v>
      </c>
      <c r="F89" s="57">
        <v>78.24</v>
      </c>
      <c r="G89" s="49">
        <f t="shared" si="24"/>
        <v>-20.760000000000005</v>
      </c>
      <c r="H89" s="40">
        <f>F89/E89*100</f>
        <v>79.03030303030303</v>
      </c>
      <c r="I89" s="56">
        <f t="shared" si="26"/>
        <v>-96.76</v>
      </c>
      <c r="J89" s="56">
        <f t="shared" si="27"/>
        <v>44.708571428571425</v>
      </c>
      <c r="K89" s="56">
        <f>F89-94</f>
        <v>-15.760000000000005</v>
      </c>
      <c r="L89" s="135">
        <f>F89/94</f>
        <v>0.8323404255319148</v>
      </c>
      <c r="M89" s="40">
        <f>E89-червень!E89</f>
        <v>15</v>
      </c>
      <c r="N89" s="40">
        <f>F89-червень!F89</f>
        <v>16.46999999999999</v>
      </c>
      <c r="O89" s="53">
        <f t="shared" si="28"/>
        <v>1.4699999999999918</v>
      </c>
      <c r="P89" s="56">
        <f>N89/M89*100</f>
        <v>109.79999999999994</v>
      </c>
      <c r="Q89" s="56">
        <f>N89-12.8</f>
        <v>3.669999999999991</v>
      </c>
      <c r="R89" s="135">
        <f>N89/12.8</f>
        <v>1.2867187499999992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E90-червень!E90</f>
        <v>0</v>
      </c>
      <c r="N90" s="40">
        <f>F90-червень!F90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E91-червень!E91</f>
        <v>0</v>
      </c>
      <c r="N91" s="40">
        <f>F91-червень!F91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E92-червень!E92</f>
        <v>0</v>
      </c>
      <c r="N92" s="40">
        <f>F92-червень!F92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E93-червень!E93</f>
        <v>0</v>
      </c>
      <c r="N93" s="40">
        <f>F93-червень!F93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E94-червень!E94</f>
        <v>0</v>
      </c>
      <c r="N94" s="40">
        <f>F94-червень!F94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4106.5</v>
      </c>
      <c r="F95" s="57">
        <v>4143.38</v>
      </c>
      <c r="G95" s="49">
        <f t="shared" si="31"/>
        <v>36.88000000000011</v>
      </c>
      <c r="H95" s="40">
        <f>F95/E95*100</f>
        <v>100.89808839644468</v>
      </c>
      <c r="I95" s="56">
        <f t="shared" si="32"/>
        <v>-2856.62</v>
      </c>
      <c r="J95" s="56">
        <f>F95/D95*100</f>
        <v>59.19114285714285</v>
      </c>
      <c r="K95" s="56">
        <f>F95-4251.4</f>
        <v>-108.01999999999953</v>
      </c>
      <c r="L95" s="135">
        <f>F95/4251.4</f>
        <v>0.9745918991391073</v>
      </c>
      <c r="M95" s="40">
        <f>E95-червень!E95</f>
        <v>575</v>
      </c>
      <c r="N95" s="40">
        <f>F95-червень!F95</f>
        <v>591.6800000000003</v>
      </c>
      <c r="O95" s="53">
        <f t="shared" si="33"/>
        <v>16.68000000000029</v>
      </c>
      <c r="P95" s="56">
        <f>N95/M95*100</f>
        <v>102.90086956521745</v>
      </c>
      <c r="Q95" s="56">
        <f>N95-621.2</f>
        <v>-29.519999999999754</v>
      </c>
      <c r="R95" s="135">
        <f>N95/621.2</f>
        <v>0.9524790727623957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604.5</v>
      </c>
      <c r="F96" s="57">
        <v>531.41</v>
      </c>
      <c r="G96" s="49">
        <f t="shared" si="31"/>
        <v>-73.09000000000003</v>
      </c>
      <c r="H96" s="40">
        <f>F96/E96*100</f>
        <v>87.90901571546732</v>
      </c>
      <c r="I96" s="56">
        <f t="shared" si="32"/>
        <v>-668.59</v>
      </c>
      <c r="J96" s="56">
        <f>F96/D96*100</f>
        <v>44.284166666666664</v>
      </c>
      <c r="K96" s="56">
        <f>F96-602.5</f>
        <v>-71.09000000000003</v>
      </c>
      <c r="L96" s="135">
        <f>F96/602.5</f>
        <v>0.8820082987551867</v>
      </c>
      <c r="M96" s="40">
        <f>E96-червень!E96</f>
        <v>130</v>
      </c>
      <c r="N96" s="40">
        <f>F96-червень!F96</f>
        <v>116.07999999999998</v>
      </c>
      <c r="O96" s="53">
        <f t="shared" si="33"/>
        <v>-13.920000000000016</v>
      </c>
      <c r="P96" s="56">
        <f>N96/M96*100</f>
        <v>89.29230769230769</v>
      </c>
      <c r="Q96" s="56">
        <f>N96-139.4</f>
        <v>-23.32000000000002</v>
      </c>
      <c r="R96" s="135">
        <f>N96/139.4</f>
        <v>0.8327116212338592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E97-червень!E97</f>
        <v>0</v>
      </c>
      <c r="N97" s="40">
        <f>F97-червень!F97</f>
        <v>0.30000000000000004</v>
      </c>
      <c r="O97" s="53">
        <f t="shared" si="33"/>
        <v>0.30000000000000004</v>
      </c>
      <c r="P97" s="56"/>
      <c r="Q97" s="56">
        <f>N97-24.1</f>
        <v>-23.8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E98-червень!E98</f>
        <v>0</v>
      </c>
      <c r="N98" s="40">
        <f>F98-червень!F98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2187</v>
      </c>
      <c r="F99" s="57">
        <v>2346.09</v>
      </c>
      <c r="G99" s="49">
        <f t="shared" si="31"/>
        <v>159.09000000000015</v>
      </c>
      <c r="H99" s="40">
        <f>F99/E99*100</f>
        <v>107.27434842249657</v>
      </c>
      <c r="I99" s="56">
        <f t="shared" si="32"/>
        <v>-2226.6099999999997</v>
      </c>
      <c r="J99" s="56">
        <f>F99/D99*100</f>
        <v>51.30644914383188</v>
      </c>
      <c r="K99" s="56">
        <f>F99-2623.7</f>
        <v>-277.6099999999997</v>
      </c>
      <c r="L99" s="135">
        <f>F99/2623.7</f>
        <v>0.894191409078782</v>
      </c>
      <c r="M99" s="40">
        <f>E99-червень!E99</f>
        <v>350</v>
      </c>
      <c r="N99" s="40">
        <f>F99-червень!F99</f>
        <v>376.8100000000002</v>
      </c>
      <c r="O99" s="53">
        <f t="shared" si="33"/>
        <v>26.810000000000173</v>
      </c>
      <c r="P99" s="56">
        <f>N99/M99*100</f>
        <v>107.66000000000004</v>
      </c>
      <c r="Q99" s="56">
        <f>N99-632</f>
        <v>-255.18999999999983</v>
      </c>
      <c r="R99" s="135">
        <f>N99/632</f>
        <v>0.5962183544303801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E100-червень!E100</f>
        <v>0</v>
      </c>
      <c r="N100" s="40">
        <f>F100-червень!F100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E101-червень!E101</f>
        <v>0</v>
      </c>
      <c r="N101" s="40">
        <f>F101-червень!F101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469.9</v>
      </c>
      <c r="G102" s="144"/>
      <c r="H102" s="146"/>
      <c r="I102" s="145"/>
      <c r="J102" s="145"/>
      <c r="K102" s="148">
        <f>F102-325</f>
        <v>144.89999999999998</v>
      </c>
      <c r="L102" s="149">
        <f>F102/325</f>
        <v>1.4458461538461538</v>
      </c>
      <c r="M102" s="40">
        <f>E102-червень!E102</f>
        <v>0</v>
      </c>
      <c r="N102" s="40">
        <f>F102-червень!F102</f>
        <v>107.20999999999998</v>
      </c>
      <c r="O102" s="53"/>
      <c r="P102" s="60"/>
      <c r="Q102" s="60">
        <f>N102-80.2</f>
        <v>27.009999999999977</v>
      </c>
      <c r="R102" s="138">
        <f>N102/80.2</f>
        <v>1.3367830423940146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66">
        <v>4.74</v>
      </c>
      <c r="G103" s="144"/>
      <c r="H103" s="146"/>
      <c r="I103" s="145"/>
      <c r="J103" s="145"/>
      <c r="K103" s="148"/>
      <c r="L103" s="149"/>
      <c r="M103" s="40">
        <f>E103-червень!E103</f>
        <v>0</v>
      </c>
      <c r="N103" s="40">
        <f>F103-червень!F103</f>
        <v>0.1200000000000001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-50.07</v>
      </c>
      <c r="K104" s="56">
        <f>F104-59.1</f>
        <v>-45.82</v>
      </c>
      <c r="L104" s="135">
        <f>F104/59.1</f>
        <v>0.22470389170896785</v>
      </c>
      <c r="M104" s="40">
        <f>E104-червень!E104</f>
        <v>0</v>
      </c>
      <c r="N104" s="40">
        <f>F104-червень!F104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18.2</v>
      </c>
      <c r="F105" s="57">
        <v>15.43</v>
      </c>
      <c r="G105" s="49">
        <f>F105-E105</f>
        <v>-2.7699999999999996</v>
      </c>
      <c r="H105" s="40">
        <f>F105/E105*100</f>
        <v>84.78021978021978</v>
      </c>
      <c r="I105" s="56">
        <f t="shared" si="34"/>
        <v>-29.57</v>
      </c>
      <c r="J105" s="56">
        <f aca="true" t="shared" si="36" ref="J105:J110">F105/D105*100</f>
        <v>34.28888888888889</v>
      </c>
      <c r="K105" s="56">
        <f>F105-13.4</f>
        <v>2.0299999999999994</v>
      </c>
      <c r="L105" s="135">
        <f>F105/13.4</f>
        <v>1.1514925373134328</v>
      </c>
      <c r="M105" s="40">
        <f>E105-червень!E105</f>
        <v>3</v>
      </c>
      <c r="N105" s="40">
        <f>F105-червень!F105</f>
        <v>1.5199999999999996</v>
      </c>
      <c r="O105" s="53">
        <f t="shared" si="35"/>
        <v>-1.4800000000000004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0.08</v>
      </c>
      <c r="G106" s="49"/>
      <c r="H106" s="40"/>
      <c r="I106" s="56"/>
      <c r="J106" s="56"/>
      <c r="K106" s="56"/>
      <c r="L106" s="135"/>
      <c r="M106" s="40">
        <f>E106-червень!E106</f>
        <v>0</v>
      </c>
      <c r="N106" s="40">
        <f>F106-червень!F106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280231.91</v>
      </c>
      <c r="F107" s="22">
        <f>F8+F74+F105+F106</f>
        <v>276584.9300000001</v>
      </c>
      <c r="G107" s="50">
        <f>F107-E107</f>
        <v>-3646.979999999865</v>
      </c>
      <c r="H107" s="51">
        <f>F107/E107*100</f>
        <v>98.69858503979798</v>
      </c>
      <c r="I107" s="36">
        <f t="shared" si="34"/>
        <v>-230294.66999999987</v>
      </c>
      <c r="J107" s="36">
        <f t="shared" si="36"/>
        <v>54.56619875804829</v>
      </c>
      <c r="K107" s="36">
        <f>F107-279160.4</f>
        <v>-2575.469999999914</v>
      </c>
      <c r="L107" s="136">
        <f>F107/279160.4</f>
        <v>0.9907742287229854</v>
      </c>
      <c r="M107" s="22">
        <f>M8+M74+M105+M106</f>
        <v>39521.680000000015</v>
      </c>
      <c r="N107" s="22">
        <f>N8+N74+N105+N106</f>
        <v>43810.34</v>
      </c>
      <c r="O107" s="55">
        <f t="shared" si="35"/>
        <v>4288.659999999982</v>
      </c>
      <c r="P107" s="36">
        <f>N107/M107*100</f>
        <v>110.85141117482856</v>
      </c>
      <c r="Q107" s="36">
        <f>N107-42056.4</f>
        <v>1753.939999999995</v>
      </c>
      <c r="R107" s="136">
        <f>N107/42056.4</f>
        <v>1.041704473040964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221975.6</v>
      </c>
      <c r="F108" s="71">
        <f>F10-F18+F96</f>
        <v>218417.03</v>
      </c>
      <c r="G108" s="71">
        <f>G10-G18+G96</f>
        <v>-3558.5700000000106</v>
      </c>
      <c r="H108" s="72">
        <f>F108/E108*100</f>
        <v>98.39686434004457</v>
      </c>
      <c r="I108" s="52">
        <f t="shared" si="34"/>
        <v>-169796.17</v>
      </c>
      <c r="J108" s="52">
        <f t="shared" si="36"/>
        <v>56.26213379658394</v>
      </c>
      <c r="K108" s="52">
        <f>F108-212017.3</f>
        <v>6399.7300000000105</v>
      </c>
      <c r="L108" s="137">
        <f>F108/212017.3</f>
        <v>1.0301849424551677</v>
      </c>
      <c r="M108" s="71">
        <f>M10-M18+M96</f>
        <v>30954.800000000017</v>
      </c>
      <c r="N108" s="71">
        <f>N10-N18+N96</f>
        <v>35003.56999999999</v>
      </c>
      <c r="O108" s="53">
        <f t="shared" si="35"/>
        <v>4048.769999999975</v>
      </c>
      <c r="P108" s="52">
        <f>N108/M108*100</f>
        <v>113.07961931590569</v>
      </c>
      <c r="Q108" s="52">
        <f>N108-32331.5</f>
        <v>2672.0699999999924</v>
      </c>
      <c r="R108" s="137">
        <f>N108/32331.5</f>
        <v>1.0826460263210798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58256.30999999997</v>
      </c>
      <c r="F109" s="71">
        <f>F107-F108</f>
        <v>58167.90000000011</v>
      </c>
      <c r="G109" s="62">
        <f>F109-E109</f>
        <v>-88.40999999985797</v>
      </c>
      <c r="H109" s="72">
        <f>F109/E109*100</f>
        <v>99.84823961558867</v>
      </c>
      <c r="I109" s="52">
        <f t="shared" si="34"/>
        <v>-60498.499999999854</v>
      </c>
      <c r="J109" s="52">
        <f t="shared" si="36"/>
        <v>49.018003411243726</v>
      </c>
      <c r="K109" s="52">
        <f>F109-67143.1</f>
        <v>-8975.199999999895</v>
      </c>
      <c r="L109" s="137">
        <f>F109/67143.1</f>
        <v>0.8663272920076688</v>
      </c>
      <c r="M109" s="71">
        <f>M107-M108</f>
        <v>8566.879999999997</v>
      </c>
      <c r="N109" s="71">
        <f>N107-N108</f>
        <v>8806.770000000004</v>
      </c>
      <c r="O109" s="53">
        <f t="shared" si="35"/>
        <v>239.8900000000067</v>
      </c>
      <c r="P109" s="52">
        <f>N109/M109*100</f>
        <v>102.80020264086818</v>
      </c>
      <c r="Q109" s="52">
        <f>N109-9724.9</f>
        <v>-918.1299999999956</v>
      </c>
      <c r="R109" s="137">
        <f>N109/9924.9</f>
        <v>0.8873409303872084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216605.7</v>
      </c>
      <c r="F110" s="71">
        <f>F108</f>
        <v>218417.03</v>
      </c>
      <c r="G110" s="111">
        <f>F110-E110</f>
        <v>1811.3299999999872</v>
      </c>
      <c r="H110" s="72">
        <f>F110/E110*100</f>
        <v>100.83623376485475</v>
      </c>
      <c r="I110" s="81">
        <f t="shared" si="34"/>
        <v>-169796.17</v>
      </c>
      <c r="J110" s="52">
        <f t="shared" si="36"/>
        <v>56.26213379658394</v>
      </c>
      <c r="K110" s="52"/>
      <c r="L110" s="137"/>
      <c r="M110" s="72">
        <f>E110-червень!E110</f>
        <v>30954.800000000017</v>
      </c>
      <c r="N110" s="71">
        <f>N108</f>
        <v>35003.56999999999</v>
      </c>
      <c r="O110" s="63">
        <f t="shared" si="35"/>
        <v>4048.769999999975</v>
      </c>
      <c r="P110" s="52">
        <f>N110/M110*100</f>
        <v>113.07961931590569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253</v>
      </c>
      <c r="C112" s="93"/>
      <c r="D112" s="84"/>
      <c r="E112" s="111">
        <f>0-червень!G110</f>
        <v>2237.4400000000023</v>
      </c>
      <c r="F112" s="84">
        <v>0</v>
      </c>
      <c r="G112" s="62">
        <f>F112-E112</f>
        <v>-2237.4400000000023</v>
      </c>
      <c r="H112" s="72"/>
      <c r="I112" s="85"/>
      <c r="J112" s="52"/>
      <c r="K112" s="52"/>
      <c r="L112" s="137"/>
      <c r="M112" s="159">
        <f>E112</f>
        <v>2237.4400000000023</v>
      </c>
      <c r="N112" s="84">
        <v>0</v>
      </c>
      <c r="O112" s="118">
        <f>N112-M112</f>
        <v>-2237.4400000000023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-1.14</v>
      </c>
      <c r="G114" s="49">
        <f aca="true" t="shared" si="37" ref="G114:G126">F114-E114</f>
        <v>-1.14</v>
      </c>
      <c r="H114" s="40"/>
      <c r="I114" s="60">
        <f aca="true" t="shared" si="38" ref="I114:I125">F114-D114</f>
        <v>-1.14</v>
      </c>
      <c r="J114" s="60"/>
      <c r="K114" s="60">
        <f>F114-13.5</f>
        <v>-14.64</v>
      </c>
      <c r="L114" s="138">
        <f>F114/13.5</f>
        <v>-0.08444444444444443</v>
      </c>
      <c r="M114" s="40">
        <f>E114-червень!E114</f>
        <v>0</v>
      </c>
      <c r="N114" s="40">
        <f>F114-червень!F114</f>
        <v>0</v>
      </c>
      <c r="O114" s="53"/>
      <c r="P114" s="60"/>
      <c r="Q114" s="60">
        <f>N114-5.6</f>
        <v>-5.6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2024.6</v>
      </c>
      <c r="F115" s="32">
        <v>813.35</v>
      </c>
      <c r="G115" s="49">
        <f t="shared" si="37"/>
        <v>-1211.25</v>
      </c>
      <c r="H115" s="40">
        <f aca="true" t="shared" si="39" ref="H115:H126">F115/E115*100</f>
        <v>40.173367578781</v>
      </c>
      <c r="I115" s="60">
        <f t="shared" si="38"/>
        <v>-2858.15</v>
      </c>
      <c r="J115" s="60">
        <f aca="true" t="shared" si="40" ref="J115:J121">F115/D115*100</f>
        <v>22.153070951927006</v>
      </c>
      <c r="K115" s="60">
        <f>F115-2198.8</f>
        <v>-1385.4500000000003</v>
      </c>
      <c r="L115" s="138">
        <f>F115/2198.8</f>
        <v>0.3699063125341095</v>
      </c>
      <c r="M115" s="40">
        <f>E115-червень!E115</f>
        <v>327.5</v>
      </c>
      <c r="N115" s="40">
        <f>F115-червень!F115</f>
        <v>207.26999999999998</v>
      </c>
      <c r="O115" s="53">
        <f aca="true" t="shared" si="41" ref="O115:O126">N115-M115</f>
        <v>-120.23000000000002</v>
      </c>
      <c r="P115" s="60">
        <f>N115/M115*100</f>
        <v>63.2885496183206</v>
      </c>
      <c r="Q115" s="60">
        <f>N115-307.3</f>
        <v>-100.03000000000003</v>
      </c>
      <c r="R115" s="138">
        <f>N115/307.3</f>
        <v>0.6744874715261958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156.5</v>
      </c>
      <c r="F116" s="32">
        <v>183.34</v>
      </c>
      <c r="G116" s="49">
        <f t="shared" si="37"/>
        <v>26.840000000000003</v>
      </c>
      <c r="H116" s="40">
        <f t="shared" si="39"/>
        <v>117.15015974440894</v>
      </c>
      <c r="I116" s="60">
        <f t="shared" si="38"/>
        <v>-84.76000000000002</v>
      </c>
      <c r="J116" s="60">
        <f t="shared" si="40"/>
        <v>68.38493099589705</v>
      </c>
      <c r="K116" s="60">
        <f>F116-153.8</f>
        <v>29.539999999999992</v>
      </c>
      <c r="L116" s="138">
        <f>F116/153.8</f>
        <v>1.1920676202860858</v>
      </c>
      <c r="M116" s="40">
        <f>E116-червень!E116</f>
        <v>22</v>
      </c>
      <c r="N116" s="40">
        <f>F116-червень!F116</f>
        <v>18.129999999999995</v>
      </c>
      <c r="O116" s="53">
        <f t="shared" si="41"/>
        <v>-3.8700000000000045</v>
      </c>
      <c r="P116" s="60">
        <f>N116/M116*100</f>
        <v>82.40909090909089</v>
      </c>
      <c r="Q116" s="60">
        <f>N116-22.6</f>
        <v>-4.470000000000006</v>
      </c>
      <c r="R116" s="138">
        <f>N116/22.6</f>
        <v>0.8022123893805307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2181.1</v>
      </c>
      <c r="F117" s="38">
        <f>SUM(F114:F116)</f>
        <v>995.5500000000001</v>
      </c>
      <c r="G117" s="62">
        <f t="shared" si="37"/>
        <v>-1185.5499999999997</v>
      </c>
      <c r="H117" s="72">
        <f t="shared" si="39"/>
        <v>45.64439961487323</v>
      </c>
      <c r="I117" s="61">
        <f t="shared" si="38"/>
        <v>-2944.0499999999997</v>
      </c>
      <c r="J117" s="61">
        <f t="shared" si="40"/>
        <v>25.27033201340238</v>
      </c>
      <c r="K117" s="61">
        <f>F117-2366</f>
        <v>-1370.4499999999998</v>
      </c>
      <c r="L117" s="139">
        <f>F117/2366</f>
        <v>0.4207734573119189</v>
      </c>
      <c r="M117" s="62">
        <f>M115+M116+M114</f>
        <v>349.5</v>
      </c>
      <c r="N117" s="38">
        <f>SUM(N114:N116)</f>
        <v>225.39999999999998</v>
      </c>
      <c r="O117" s="61">
        <f t="shared" si="41"/>
        <v>-124.10000000000002</v>
      </c>
      <c r="P117" s="61">
        <f>N117/M117*100</f>
        <v>64.49213161659513</v>
      </c>
      <c r="Q117" s="61">
        <f>N117-335.5</f>
        <v>-110.10000000000002</v>
      </c>
      <c r="R117" s="139">
        <f>N117/335.5</f>
        <v>0.671833084947839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182.5</v>
      </c>
      <c r="F119" s="33">
        <v>259.07</v>
      </c>
      <c r="G119" s="49">
        <f t="shared" si="37"/>
        <v>76.57</v>
      </c>
      <c r="H119" s="40">
        <f t="shared" si="39"/>
        <v>141.95616438356166</v>
      </c>
      <c r="I119" s="60">
        <f t="shared" si="38"/>
        <v>-8.129999999999995</v>
      </c>
      <c r="J119" s="60">
        <f t="shared" si="40"/>
        <v>96.95733532934132</v>
      </c>
      <c r="K119" s="60">
        <f>F119-172.6</f>
        <v>86.47</v>
      </c>
      <c r="L119" s="138">
        <f>F119/172.6</f>
        <v>1.5009849362688297</v>
      </c>
      <c r="M119" s="40">
        <f>E119-червень!E119</f>
        <v>73</v>
      </c>
      <c r="N119" s="40">
        <f>F119-червень!F119</f>
        <v>120.78999999999999</v>
      </c>
      <c r="O119" s="53">
        <f>N119-M119</f>
        <v>47.78999999999999</v>
      </c>
      <c r="P119" s="60">
        <f>N119/M119*100</f>
        <v>165.46575342465752</v>
      </c>
      <c r="Q119" s="60">
        <f>N119-76.8</f>
        <v>43.989999999999995</v>
      </c>
      <c r="R119" s="138">
        <f>N119/76.8</f>
        <v>1.5727864583333333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41312.6</v>
      </c>
      <c r="F120" s="33">
        <v>46209.73</v>
      </c>
      <c r="G120" s="49">
        <f t="shared" si="37"/>
        <v>4897.130000000005</v>
      </c>
      <c r="H120" s="40">
        <f t="shared" si="39"/>
        <v>111.85384120098954</v>
      </c>
      <c r="I120" s="53">
        <f t="shared" si="38"/>
        <v>-25766.260000000002</v>
      </c>
      <c r="J120" s="60">
        <f t="shared" si="40"/>
        <v>64.20159000244388</v>
      </c>
      <c r="K120" s="60">
        <f>F120-39659.2</f>
        <v>6550.530000000006</v>
      </c>
      <c r="L120" s="138">
        <f>F120/39659.2</f>
        <v>1.165170502682858</v>
      </c>
      <c r="M120" s="40">
        <f>E120-червень!E120</f>
        <v>7100</v>
      </c>
      <c r="N120" s="40">
        <f>F120-червень!F120</f>
        <v>8156.020000000004</v>
      </c>
      <c r="O120" s="53">
        <f t="shared" si="41"/>
        <v>1056.020000000004</v>
      </c>
      <c r="P120" s="60">
        <f aca="true" t="shared" si="42" ref="P120:P125">N120/M120*100</f>
        <v>114.87352112676061</v>
      </c>
      <c r="Q120" s="60">
        <f>N120-7148.5</f>
        <v>1007.5200000000041</v>
      </c>
      <c r="R120" s="138">
        <f>N120/7148.5</f>
        <v>1.1409414562495634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1683</v>
      </c>
      <c r="F121" s="33">
        <v>1678.13</v>
      </c>
      <c r="G121" s="49">
        <f t="shared" si="37"/>
        <v>-4.869999999999891</v>
      </c>
      <c r="H121" s="40">
        <f t="shared" si="39"/>
        <v>99.71063576945932</v>
      </c>
      <c r="I121" s="60">
        <f t="shared" si="38"/>
        <v>-8321.869999999999</v>
      </c>
      <c r="J121" s="60">
        <f t="shared" si="40"/>
        <v>16.7813</v>
      </c>
      <c r="K121" s="60">
        <f>F121-1120.9</f>
        <v>557.23</v>
      </c>
      <c r="L121" s="138">
        <f>F121/1120.9</f>
        <v>1.4971273084128824</v>
      </c>
      <c r="M121" s="40">
        <f>E121-червень!E121</f>
        <v>16</v>
      </c>
      <c r="N121" s="40">
        <f>F121-червень!F121</f>
        <v>19.190000000000055</v>
      </c>
      <c r="O121" s="53">
        <f t="shared" si="41"/>
        <v>3.1900000000000546</v>
      </c>
      <c r="P121" s="60">
        <f t="shared" si="42"/>
        <v>119.93750000000034</v>
      </c>
      <c r="Q121" s="60">
        <f>N121-496.3</f>
        <v>-477.10999999999996</v>
      </c>
      <c r="R121" s="138">
        <f>N121/496.3</f>
        <v>0.038666129357243714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7232.5</v>
      </c>
      <c r="F122" s="33">
        <v>2235.97</v>
      </c>
      <c r="G122" s="49">
        <f t="shared" si="37"/>
        <v>-4996.530000000001</v>
      </c>
      <c r="H122" s="40">
        <f t="shared" si="39"/>
        <v>30.915589353612166</v>
      </c>
      <c r="I122" s="60">
        <f t="shared" si="38"/>
        <v>-20842.03</v>
      </c>
      <c r="J122" s="60">
        <f>F122/D122*100</f>
        <v>9.688751191611058</v>
      </c>
      <c r="K122" s="60">
        <f>F122-14177.3</f>
        <v>-11941.33</v>
      </c>
      <c r="L122" s="138">
        <f>F122/14177.3</f>
        <v>0.15771479759897863</v>
      </c>
      <c r="M122" s="40">
        <f>E122-червень!E122</f>
        <v>2409.8999999999996</v>
      </c>
      <c r="N122" s="40">
        <f>F122-червень!F122</f>
        <v>118.83999999999969</v>
      </c>
      <c r="O122" s="53">
        <f t="shared" si="41"/>
        <v>-2291.06</v>
      </c>
      <c r="P122" s="60">
        <f t="shared" si="42"/>
        <v>4.931324951242778</v>
      </c>
      <c r="Q122" s="60">
        <f>N122-329.4</f>
        <v>-210.5600000000003</v>
      </c>
      <c r="R122" s="138">
        <f>N122/329.4</f>
        <v>0.3607771706132353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1052.04</v>
      </c>
      <c r="F123" s="33">
        <v>764.22</v>
      </c>
      <c r="G123" s="49">
        <f t="shared" si="37"/>
        <v>-287.81999999999994</v>
      </c>
      <c r="H123" s="40">
        <f t="shared" si="39"/>
        <v>72.64172464925288</v>
      </c>
      <c r="I123" s="60">
        <f t="shared" si="38"/>
        <v>-1235.78</v>
      </c>
      <c r="J123" s="60">
        <f>F123/D123*100</f>
        <v>38.211</v>
      </c>
      <c r="K123" s="60">
        <f>F123-1349.4</f>
        <v>-585.1800000000001</v>
      </c>
      <c r="L123" s="138">
        <f>F123/1349.4</f>
        <v>0.5663405958203646</v>
      </c>
      <c r="M123" s="40">
        <f>E123-червень!E123</f>
        <v>189.58999999999992</v>
      </c>
      <c r="N123" s="40">
        <f>F123-червень!F123</f>
        <v>35.91000000000008</v>
      </c>
      <c r="O123" s="53">
        <f t="shared" si="41"/>
        <v>-153.67999999999984</v>
      </c>
      <c r="P123" s="60">
        <f t="shared" si="42"/>
        <v>18.940872408882374</v>
      </c>
      <c r="Q123" s="60">
        <f>N123-149.4</f>
        <v>-113.48999999999992</v>
      </c>
      <c r="R123" s="138">
        <f>N123/149.4</f>
        <v>0.24036144578313307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51462.64</v>
      </c>
      <c r="F124" s="38">
        <f>F120+F121+F122+F123+F119</f>
        <v>51147.12</v>
      </c>
      <c r="G124" s="62">
        <f t="shared" si="37"/>
        <v>-315.5199999999968</v>
      </c>
      <c r="H124" s="72">
        <f t="shared" si="39"/>
        <v>99.38689503686558</v>
      </c>
      <c r="I124" s="61">
        <f t="shared" si="38"/>
        <v>-56174.07</v>
      </c>
      <c r="J124" s="61">
        <f>F124/D124*100</f>
        <v>47.65798813822322</v>
      </c>
      <c r="K124" s="61">
        <f>F124-56479.4</f>
        <v>-5332.279999999999</v>
      </c>
      <c r="L124" s="139">
        <f>F124/56479.4</f>
        <v>0.9055889403924263</v>
      </c>
      <c r="M124" s="62">
        <f>M120+M121+M122+M123+M119</f>
        <v>9788.49</v>
      </c>
      <c r="N124" s="62">
        <f>N120+N121+N122+N123+N119</f>
        <v>8450.750000000005</v>
      </c>
      <c r="O124" s="61">
        <f t="shared" si="41"/>
        <v>-1337.7399999999943</v>
      </c>
      <c r="P124" s="61">
        <f t="shared" si="42"/>
        <v>86.33354071976377</v>
      </c>
      <c r="Q124" s="61">
        <f>N124-8200.3</f>
        <v>250.45000000000618</v>
      </c>
      <c r="R124" s="139">
        <f>N124/8200.3</f>
        <v>1.0305415655524806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19.16</v>
      </c>
      <c r="F125" s="33">
        <v>14.17</v>
      </c>
      <c r="G125" s="49">
        <f t="shared" si="37"/>
        <v>-4.99</v>
      </c>
      <c r="H125" s="40">
        <f t="shared" si="39"/>
        <v>73.95615866388309</v>
      </c>
      <c r="I125" s="60">
        <f t="shared" si="38"/>
        <v>-29.33</v>
      </c>
      <c r="J125" s="60">
        <f>F125/D125*100</f>
        <v>32.57471264367816</v>
      </c>
      <c r="K125" s="60">
        <f>F125-109.2</f>
        <v>-95.03</v>
      </c>
      <c r="L125" s="138">
        <f>F125/109.2</f>
        <v>0.12976190476190474</v>
      </c>
      <c r="M125" s="40">
        <f>E125-червень!E125</f>
        <v>2</v>
      </c>
      <c r="N125" s="40">
        <f>F125-червень!F125</f>
        <v>0</v>
      </c>
      <c r="O125" s="53">
        <f t="shared" si="41"/>
        <v>-2</v>
      </c>
      <c r="P125" s="60">
        <f t="shared" si="42"/>
        <v>0</v>
      </c>
      <c r="Q125" s="60">
        <f>N125-8.5</f>
        <v>-8.5</v>
      </c>
      <c r="R125" s="138">
        <f>N125/8.5</f>
        <v>0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E126-червень!E126</f>
        <v>0</v>
      </c>
      <c r="N126" s="40">
        <f>F126-червень!F126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E127-червень!E127</f>
        <v>0</v>
      </c>
      <c r="N127" s="40">
        <f>F127-червень!F127</f>
        <v>1.7199999999999989</v>
      </c>
      <c r="O127" s="53"/>
      <c r="P127" s="63"/>
      <c r="Q127" s="53">
        <f>N127-0</f>
        <v>1.7199999999999989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5015.5</v>
      </c>
      <c r="F128" s="33">
        <v>5308.17</v>
      </c>
      <c r="G128" s="49">
        <f aca="true" t="shared" si="43" ref="G128:G135">F128-E128</f>
        <v>292.6700000000001</v>
      </c>
      <c r="H128" s="40">
        <f>F128/E128*100</f>
        <v>105.83531053733427</v>
      </c>
      <c r="I128" s="60">
        <f aca="true" t="shared" si="44" ref="I128:I135">F128-D128</f>
        <v>-3391.83</v>
      </c>
      <c r="J128" s="60">
        <f>F128/D128*100</f>
        <v>61.01344827586207</v>
      </c>
      <c r="K128" s="60">
        <f>F128-6320.8</f>
        <v>-1012.6300000000001</v>
      </c>
      <c r="L128" s="138">
        <f>F128/6320.8</f>
        <v>0.8397940134160232</v>
      </c>
      <c r="M128" s="40">
        <f>E128-червень!E128</f>
        <v>3</v>
      </c>
      <c r="N128" s="40">
        <f>F128-червень!F128</f>
        <v>12.609999999999673</v>
      </c>
      <c r="O128" s="53">
        <f aca="true" t="shared" si="45" ref="O128:O135">N128-M128</f>
        <v>9.609999999999673</v>
      </c>
      <c r="P128" s="60">
        <f>N128/M128*100</f>
        <v>420.3333333333224</v>
      </c>
      <c r="Q128" s="60">
        <f>N128-19.4</f>
        <v>-6.790000000000326</v>
      </c>
      <c r="R128" s="162">
        <f>N128/19.4</f>
        <v>0.6499999999999831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0.52</v>
      </c>
      <c r="G129" s="49">
        <f t="shared" si="43"/>
        <v>0.52</v>
      </c>
      <c r="H129" s="40"/>
      <c r="I129" s="60">
        <f t="shared" si="44"/>
        <v>0.52</v>
      </c>
      <c r="J129" s="60"/>
      <c r="K129" s="60">
        <f>F129-(-0.1)</f>
        <v>0.62</v>
      </c>
      <c r="L129" s="138">
        <f>F129/(-0.1)</f>
        <v>-5.2</v>
      </c>
      <c r="M129" s="40">
        <f>E129-червень!E129</f>
        <v>0</v>
      </c>
      <c r="N129" s="40">
        <f>F129-червень!F129</f>
        <v>0.26</v>
      </c>
      <c r="O129" s="53">
        <f t="shared" si="45"/>
        <v>0.26</v>
      </c>
      <c r="P129" s="60"/>
      <c r="Q129" s="60">
        <f>N129-0.3</f>
        <v>-0.03999999999999998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5041.86</v>
      </c>
      <c r="F130" s="38">
        <f>F128+F125+F129+F127</f>
        <v>5342.34</v>
      </c>
      <c r="G130" s="62">
        <f t="shared" si="43"/>
        <v>300.4800000000005</v>
      </c>
      <c r="H130" s="72">
        <f>F130/E130*100</f>
        <v>105.9597053468363</v>
      </c>
      <c r="I130" s="61">
        <f t="shared" si="44"/>
        <v>-3408.3600000000006</v>
      </c>
      <c r="J130" s="61">
        <f>F130/D130*100</f>
        <v>61.05043025129417</v>
      </c>
      <c r="K130" s="61">
        <f>F130-6438.4</f>
        <v>-1096.0599999999995</v>
      </c>
      <c r="L130" s="139">
        <f>G130/6438.4</f>
        <v>0.04666998011928437</v>
      </c>
      <c r="M130" s="62">
        <f>M125+M128+M129+M127</f>
        <v>5</v>
      </c>
      <c r="N130" s="62">
        <f>N125+N128+N129+N127</f>
        <v>14.589999999999671</v>
      </c>
      <c r="O130" s="61">
        <f t="shared" si="45"/>
        <v>9.589999999999671</v>
      </c>
      <c r="P130" s="61">
        <f>N130/M130*100</f>
        <v>291.7999999999934</v>
      </c>
      <c r="Q130" s="61">
        <f>N130-28.2</f>
        <v>-13.610000000000328</v>
      </c>
      <c r="R130" s="137">
        <f>N130/28.2</f>
        <v>0.517375886524811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16.05</v>
      </c>
      <c r="F131" s="33">
        <v>22.4</v>
      </c>
      <c r="G131" s="49">
        <f>F131-E131</f>
        <v>6.349999999999998</v>
      </c>
      <c r="H131" s="40">
        <f>F131/E131*100</f>
        <v>139.5638629283489</v>
      </c>
      <c r="I131" s="60">
        <f>F131-D131</f>
        <v>-7.600000000000001</v>
      </c>
      <c r="J131" s="60">
        <f>F131/D131*100</f>
        <v>74.66666666666666</v>
      </c>
      <c r="K131" s="60">
        <f>F131-17.3</f>
        <v>5.099999999999998</v>
      </c>
      <c r="L131" s="138">
        <f>F131/17.3</f>
        <v>1.2947976878612715</v>
      </c>
      <c r="M131" s="40">
        <f>E131-червень!E131</f>
        <v>0.40000000000000036</v>
      </c>
      <c r="N131" s="40">
        <f>F131-червень!F131</f>
        <v>1.2799999999999976</v>
      </c>
      <c r="O131" s="53">
        <f>N131-M131</f>
        <v>0.8799999999999972</v>
      </c>
      <c r="P131" s="60">
        <f>N131/M131*100</f>
        <v>319.99999999999915</v>
      </c>
      <c r="Q131" s="60">
        <f>N131-0.5</f>
        <v>0.7799999999999976</v>
      </c>
      <c r="R131" s="138">
        <f>N131/0.5</f>
        <v>2.559999999999995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E132-червень!E132</f>
        <v>0</v>
      </c>
      <c r="N132" s="40">
        <f>F132-червень!F132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E133-червень!E133</f>
        <v>0</v>
      </c>
      <c r="N133" s="40">
        <f>F133-червень!F133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58701.65</v>
      </c>
      <c r="F134" s="31">
        <f>F117+F131+F124+F130+F133+F132</f>
        <v>57507.41</v>
      </c>
      <c r="G134" s="50">
        <f t="shared" si="43"/>
        <v>-1194.239999999998</v>
      </c>
      <c r="H134" s="51">
        <f>F134/E134*100</f>
        <v>97.96557677680269</v>
      </c>
      <c r="I134" s="36">
        <f t="shared" si="44"/>
        <v>-62534.08</v>
      </c>
      <c r="J134" s="36">
        <f>F134/D134*100</f>
        <v>47.906278071023614</v>
      </c>
      <c r="K134" s="36">
        <f>F134-65301.1</f>
        <v>-7793.689999999995</v>
      </c>
      <c r="L134" s="136">
        <f>F134/65301.1</f>
        <v>0.8806499431096874</v>
      </c>
      <c r="M134" s="31">
        <f>M117+M131+M124+M130+M133+M132</f>
        <v>10143.39</v>
      </c>
      <c r="N134" s="31">
        <f>N117+N131+N124+N130+N133+N132</f>
        <v>8692.020000000006</v>
      </c>
      <c r="O134" s="36">
        <f t="shared" si="45"/>
        <v>-1451.3699999999935</v>
      </c>
      <c r="P134" s="36">
        <f>N134/M134*100</f>
        <v>85.69147001150509</v>
      </c>
      <c r="Q134" s="36">
        <f>N134-8564.5</f>
        <v>127.5200000000059</v>
      </c>
      <c r="R134" s="136">
        <f>N134/8564.5</f>
        <v>1.0148893689065335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338933.56</v>
      </c>
      <c r="F135" s="31">
        <f>F107+F134</f>
        <v>334092.3400000001</v>
      </c>
      <c r="G135" s="50">
        <f t="shared" si="43"/>
        <v>-4841.219999999914</v>
      </c>
      <c r="H135" s="51">
        <f>F135/E135*100</f>
        <v>98.57163156106468</v>
      </c>
      <c r="I135" s="36">
        <f t="shared" si="44"/>
        <v>-292828.7499999999</v>
      </c>
      <c r="J135" s="36">
        <f>F135/D135*100</f>
        <v>53.29097159580325</v>
      </c>
      <c r="K135" s="36">
        <f>F135-344461.4</f>
        <v>-10369.05999999994</v>
      </c>
      <c r="L135" s="136">
        <f>F135/344461.4</f>
        <v>0.9698977592264331</v>
      </c>
      <c r="M135" s="22">
        <f>M107+M134</f>
        <v>49665.070000000014</v>
      </c>
      <c r="N135" s="22">
        <f>N107+N134</f>
        <v>52502.36</v>
      </c>
      <c r="O135" s="36">
        <f t="shared" si="45"/>
        <v>2837.2899999999863</v>
      </c>
      <c r="P135" s="36">
        <f>N135/M135*100</f>
        <v>105.71284808417664</v>
      </c>
      <c r="Q135" s="36">
        <f>N135-50620.9</f>
        <v>1881.4599999999991</v>
      </c>
      <c r="R135" s="136">
        <f>N135/50620.9</f>
        <v>1.0371676520962685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>
        <f>IF(O107&lt;0,ABS(O107/C137),0)</f>
        <v>0</v>
      </c>
      <c r="D138" s="4" t="s">
        <v>104</v>
      </c>
      <c r="G138" s="198"/>
      <c r="H138" s="198"/>
      <c r="I138" s="198"/>
      <c r="J138" s="198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41851</v>
      </c>
      <c r="D139" s="39">
        <v>2276.2</v>
      </c>
      <c r="N139" s="193"/>
      <c r="O139" s="193"/>
    </row>
    <row r="140" spans="3:15" ht="15.75">
      <c r="C140" s="120">
        <v>41850</v>
      </c>
      <c r="D140" s="39">
        <v>4320</v>
      </c>
      <c r="F140" s="4" t="s">
        <v>166</v>
      </c>
      <c r="G140" s="189" t="s">
        <v>151</v>
      </c>
      <c r="H140" s="189"/>
      <c r="I140" s="115">
        <f>13825221.96/1000</f>
        <v>13825.22196</v>
      </c>
      <c r="J140" s="190" t="s">
        <v>161</v>
      </c>
      <c r="K140" s="190"/>
      <c r="L140" s="190"/>
      <c r="M140" s="190"/>
      <c r="N140" s="193"/>
      <c r="O140" s="193"/>
    </row>
    <row r="141" spans="3:15" ht="15.75">
      <c r="C141" s="120">
        <v>41849</v>
      </c>
      <c r="D141" s="39">
        <v>4403.7</v>
      </c>
      <c r="G141" s="191" t="s">
        <v>155</v>
      </c>
      <c r="H141" s="191"/>
      <c r="I141" s="112">
        <v>0</v>
      </c>
      <c r="J141" s="192" t="s">
        <v>162</v>
      </c>
      <c r="K141" s="192"/>
      <c r="L141" s="192"/>
      <c r="M141" s="192"/>
      <c r="N141" s="193"/>
      <c r="O141" s="193"/>
    </row>
    <row r="142" spans="7:13" ht="15.75" customHeight="1">
      <c r="G142" s="189" t="s">
        <v>148</v>
      </c>
      <c r="H142" s="189"/>
      <c r="I142" s="112">
        <f>'[1]залишки  (2)'!$G$8/1000</f>
        <v>0</v>
      </c>
      <c r="J142" s="190" t="s">
        <v>163</v>
      </c>
      <c r="K142" s="190"/>
      <c r="L142" s="190"/>
      <c r="M142" s="190"/>
    </row>
    <row r="143" spans="2:13" ht="18.75" customHeight="1">
      <c r="B143" s="187" t="s">
        <v>160</v>
      </c>
      <c r="C143" s="188"/>
      <c r="D143" s="117">
        <f>120856761.09/1000</f>
        <v>120856.76109</v>
      </c>
      <c r="E143" s="80"/>
      <c r="F143" s="100" t="s">
        <v>147</v>
      </c>
      <c r="G143" s="189" t="s">
        <v>149</v>
      </c>
      <c r="H143" s="189"/>
      <c r="I143" s="116">
        <f>107031539.13/1000</f>
        <v>107031.53912999999</v>
      </c>
      <c r="J143" s="190" t="s">
        <v>164</v>
      </c>
      <c r="K143" s="190"/>
      <c r="L143" s="190"/>
      <c r="M143" s="190"/>
    </row>
    <row r="144" spans="7:12" ht="9.75" customHeight="1">
      <c r="G144" s="183"/>
      <c r="H144" s="183"/>
      <c r="I144" s="98"/>
      <c r="J144" s="99"/>
      <c r="K144" s="99"/>
      <c r="L144" s="99"/>
    </row>
    <row r="145" spans="2:12" ht="22.5" customHeight="1">
      <c r="B145" s="184" t="s">
        <v>169</v>
      </c>
      <c r="C145" s="185"/>
      <c r="D145" s="119">
        <f>26199804.73/1000</f>
        <v>26199.80473</v>
      </c>
      <c r="E145" s="77" t="s">
        <v>104</v>
      </c>
      <c r="G145" s="183"/>
      <c r="H145" s="183"/>
      <c r="I145" s="98"/>
      <c r="J145" s="99"/>
      <c r="K145" s="99"/>
      <c r="L145" s="99"/>
    </row>
    <row r="146" spans="4:15" ht="15.75">
      <c r="D146" s="114"/>
      <c r="N146" s="183"/>
      <c r="O146" s="183"/>
    </row>
    <row r="147" spans="4:15" ht="15.75">
      <c r="D147" s="113"/>
      <c r="I147" s="39"/>
      <c r="N147" s="186"/>
      <c r="O147" s="186"/>
    </row>
    <row r="148" spans="14:15" ht="15.75">
      <c r="N148" s="183"/>
      <c r="O148" s="183"/>
    </row>
  </sheetData>
  <mergeCells count="38">
    <mergeCell ref="N148:O148"/>
    <mergeCell ref="B145:C145"/>
    <mergeCell ref="G145:H145"/>
    <mergeCell ref="N146:O146"/>
    <mergeCell ref="N147:O147"/>
    <mergeCell ref="B143:C143"/>
    <mergeCell ref="G143:H143"/>
    <mergeCell ref="J143:M143"/>
    <mergeCell ref="G144:H144"/>
    <mergeCell ref="G141:H141"/>
    <mergeCell ref="J141:M141"/>
    <mergeCell ref="N141:O141"/>
    <mergeCell ref="G142:H142"/>
    <mergeCell ref="J142:M142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6" right="0.18" top="0.26" bottom="0.38" header="0.17" footer="0.29"/>
  <pageSetup fitToHeight="1" fitToWidth="1" horizontalDpi="600" verticalDpi="600" orientation="portrait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J8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09" t="s">
        <v>246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126"/>
      <c r="R1" s="127"/>
    </row>
    <row r="2" spans="2:18" s="1" customFormat="1" ht="15.75" customHeight="1">
      <c r="B2" s="210"/>
      <c r="C2" s="210"/>
      <c r="D2" s="21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211"/>
      <c r="B3" s="176"/>
      <c r="C3" s="177" t="s">
        <v>0</v>
      </c>
      <c r="D3" s="178" t="s">
        <v>224</v>
      </c>
      <c r="E3" s="178"/>
      <c r="F3" s="179" t="s">
        <v>107</v>
      </c>
      <c r="G3" s="180"/>
      <c r="H3" s="180"/>
      <c r="I3" s="180"/>
      <c r="J3" s="180"/>
      <c r="K3" s="180"/>
      <c r="L3" s="212"/>
      <c r="M3" s="213" t="s">
        <v>225</v>
      </c>
      <c r="N3" s="215" t="s">
        <v>243</v>
      </c>
      <c r="O3" s="215"/>
      <c r="P3" s="215"/>
      <c r="Q3" s="215"/>
      <c r="R3" s="215"/>
    </row>
    <row r="4" spans="1:18" ht="22.5" customHeight="1">
      <c r="A4" s="211"/>
      <c r="B4" s="176"/>
      <c r="C4" s="177"/>
      <c r="D4" s="178"/>
      <c r="E4" s="178"/>
      <c r="F4" s="216" t="s">
        <v>116</v>
      </c>
      <c r="G4" s="203" t="s">
        <v>238</v>
      </c>
      <c r="H4" s="205" t="s">
        <v>239</v>
      </c>
      <c r="I4" s="201" t="s">
        <v>188</v>
      </c>
      <c r="J4" s="207" t="s">
        <v>189</v>
      </c>
      <c r="K4" s="194" t="s">
        <v>240</v>
      </c>
      <c r="L4" s="195"/>
      <c r="M4" s="214"/>
      <c r="N4" s="199" t="s">
        <v>247</v>
      </c>
      <c r="O4" s="201" t="s">
        <v>136</v>
      </c>
      <c r="P4" s="201" t="s">
        <v>135</v>
      </c>
      <c r="Q4" s="194" t="s">
        <v>242</v>
      </c>
      <c r="R4" s="195"/>
    </row>
    <row r="5" spans="1:18" ht="82.5" customHeight="1">
      <c r="A5" s="175"/>
      <c r="B5" s="176"/>
      <c r="C5" s="177"/>
      <c r="D5" s="150" t="s">
        <v>209</v>
      </c>
      <c r="E5" s="158" t="s">
        <v>237</v>
      </c>
      <c r="F5" s="217"/>
      <c r="G5" s="204"/>
      <c r="H5" s="206"/>
      <c r="I5" s="202"/>
      <c r="J5" s="208"/>
      <c r="K5" s="196"/>
      <c r="L5" s="197"/>
      <c r="M5" s="151" t="s">
        <v>241</v>
      </c>
      <c r="N5" s="200"/>
      <c r="O5" s="202"/>
      <c r="P5" s="202"/>
      <c r="Q5" s="196"/>
      <c r="R5" s="197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233266.53</v>
      </c>
      <c r="F8" s="22">
        <f>F10+F19+F33+F56+F68+F30</f>
        <v>226419.02000000002</v>
      </c>
      <c r="G8" s="22">
        <f aca="true" t="shared" si="0" ref="G8:G30">F8-E8</f>
        <v>-6847.50999999998</v>
      </c>
      <c r="H8" s="51">
        <f>F8/E8*100</f>
        <v>97.06451242705073</v>
      </c>
      <c r="I8" s="36">
        <f aca="true" t="shared" si="1" ref="I8:I17">F8-D8</f>
        <v>-262057.27999999997</v>
      </c>
      <c r="J8" s="36">
        <f aca="true" t="shared" si="2" ref="J8:J14">F8/D8*100</f>
        <v>46.35209937513857</v>
      </c>
      <c r="K8" s="36">
        <f>F8-227938.8</f>
        <v>-1519.7799999999697</v>
      </c>
      <c r="L8" s="136">
        <f>F8/227938.8</f>
        <v>0.9933325085505409</v>
      </c>
      <c r="M8" s="22">
        <f>M10+M19+M33+M56+M68+M30</f>
        <v>41595.47</v>
      </c>
      <c r="N8" s="22">
        <f>N10+N19+N33+N56+N68+N30</f>
        <v>41613.82000000001</v>
      </c>
      <c r="O8" s="36">
        <f aca="true" t="shared" si="3" ref="O8:O71">N8-M8</f>
        <v>18.35000000000582</v>
      </c>
      <c r="P8" s="36">
        <f>F8/M8*100</f>
        <v>544.3357654090698</v>
      </c>
      <c r="Q8" s="36">
        <f>N8-40804</f>
        <v>809.820000000007</v>
      </c>
      <c r="R8" s="134">
        <f>N8/40804</f>
        <v>1.019846583668268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182998.13</v>
      </c>
      <c r="G9" s="22">
        <f t="shared" si="0"/>
        <v>182998.13</v>
      </c>
      <c r="H9" s="20"/>
      <c r="I9" s="56">
        <f t="shared" si="1"/>
        <v>-204015.07</v>
      </c>
      <c r="J9" s="56">
        <f t="shared" si="2"/>
        <v>47.284725688942906</v>
      </c>
      <c r="K9" s="56"/>
      <c r="L9" s="135"/>
      <c r="M9" s="20">
        <f>M10+M17</f>
        <v>34434.5</v>
      </c>
      <c r="N9" s="20">
        <f>N10+N17</f>
        <v>34237.98000000001</v>
      </c>
      <c r="O9" s="36">
        <f t="shared" si="3"/>
        <v>-196.51999999998952</v>
      </c>
      <c r="P9" s="56">
        <f>F9/M9*100</f>
        <v>531.4383249357477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190546.3</v>
      </c>
      <c r="F10" s="40">
        <v>182998.13</v>
      </c>
      <c r="G10" s="49">
        <f t="shared" si="0"/>
        <v>-7548.169999999984</v>
      </c>
      <c r="H10" s="40">
        <f aca="true" t="shared" si="4" ref="H10:H17">F10/E10*100</f>
        <v>96.0386688169752</v>
      </c>
      <c r="I10" s="56">
        <f t="shared" si="1"/>
        <v>-204015.07</v>
      </c>
      <c r="J10" s="56">
        <f t="shared" si="2"/>
        <v>47.284725688942906</v>
      </c>
      <c r="K10" s="141">
        <f>F10-179133.7</f>
        <v>3864.429999999993</v>
      </c>
      <c r="L10" s="142">
        <f>F10/179133.7</f>
        <v>1.021572881038018</v>
      </c>
      <c r="M10" s="40">
        <f>E10-травень!E10</f>
        <v>34434.5</v>
      </c>
      <c r="N10" s="40">
        <f>F10-травень!F10</f>
        <v>34237.98000000001</v>
      </c>
      <c r="O10" s="53">
        <f t="shared" si="3"/>
        <v>-196.51999999998952</v>
      </c>
      <c r="P10" s="56">
        <f aca="true" t="shared" si="5" ref="P10:P17">N10/M10*100</f>
        <v>99.42929329596774</v>
      </c>
      <c r="Q10" s="141">
        <f>N10-33294.7</f>
        <v>943.2800000000134</v>
      </c>
      <c r="R10" s="142">
        <f>N10/33294.7</f>
        <v>1.0283312359024113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E11-травень!E11</f>
        <v>0</v>
      </c>
      <c r="N11" s="40">
        <f>F11-травень!F11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E12-травень!E12</f>
        <v>0</v>
      </c>
      <c r="N12" s="40">
        <f>F12-травень!F12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E13-травень!E13</f>
        <v>0</v>
      </c>
      <c r="N13" s="40">
        <f>F13-травень!F13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E14-травень!E14</f>
        <v>0</v>
      </c>
      <c r="N14" s="40">
        <f>F14-травень!F14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E15-травень!E15</f>
        <v>0</v>
      </c>
      <c r="N15" s="40">
        <f>F15-травень!F15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E16-травень!E16</f>
        <v>0</v>
      </c>
      <c r="N16" s="40">
        <f>F16-травень!F16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E17-травень!E17</f>
        <v>0</v>
      </c>
      <c r="N17" s="40">
        <f>F17-травень!F17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E18-травень!E18</f>
        <v>0</v>
      </c>
      <c r="N18" s="40">
        <f>F18-травень!F18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1022.6</v>
      </c>
      <c r="F19" s="40">
        <v>317.87</v>
      </c>
      <c r="G19" s="49">
        <f t="shared" si="0"/>
        <v>-704.73</v>
      </c>
      <c r="H19" s="40">
        <f aca="true" t="shared" si="6" ref="H19:H29">F19/E19*100</f>
        <v>31.084490514375123</v>
      </c>
      <c r="I19" s="56">
        <f aca="true" t="shared" si="7" ref="I19:I29">F19-D19</f>
        <v>-682.13</v>
      </c>
      <c r="J19" s="56">
        <f aca="true" t="shared" si="8" ref="J19:J29">F19/D19*100</f>
        <v>31.787</v>
      </c>
      <c r="K19" s="56">
        <f>F19-5620.4</f>
        <v>-5302.53</v>
      </c>
      <c r="L19" s="135">
        <f>F19/5620.4</f>
        <v>0.05655647284890756</v>
      </c>
      <c r="M19" s="40">
        <f>E19-травень!E19</f>
        <v>11</v>
      </c>
      <c r="N19" s="40">
        <f>F19-травень!F19</f>
        <v>-327.51</v>
      </c>
      <c r="O19" s="53">
        <f t="shared" si="3"/>
        <v>-338.51</v>
      </c>
      <c r="P19" s="56">
        <f aca="true" t="shared" si="9" ref="P19:P29">N19/M19*100</f>
        <v>-2977.3636363636365</v>
      </c>
      <c r="Q19" s="56">
        <f>N19-465.3</f>
        <v>-792.81</v>
      </c>
      <c r="R19" s="135">
        <f>N19/465.3</f>
        <v>-0.7038684719535783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E20-травень!E20</f>
        <v>0</v>
      </c>
      <c r="N20" s="40">
        <f>F20-травень!F20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E21-травень!E21</f>
        <v>0</v>
      </c>
      <c r="N21" s="40">
        <f>F21-травень!F21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E22-травень!E22</f>
        <v>0</v>
      </c>
      <c r="N22" s="40">
        <f>F22-травень!F22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E23-травень!E23</f>
        <v>0</v>
      </c>
      <c r="N23" s="40">
        <f>F23-травень!F23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E24-травень!E24</f>
        <v>0</v>
      </c>
      <c r="N24" s="40">
        <f>F24-травень!F24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E25-травень!E25</f>
        <v>0</v>
      </c>
      <c r="N25" s="40">
        <f>F25-травень!F25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E26-травень!E26</f>
        <v>0</v>
      </c>
      <c r="N26" s="40">
        <f>F26-травень!F26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E27-травень!E27</f>
        <v>0</v>
      </c>
      <c r="N27" s="40">
        <f>F27-травень!F27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E28-травень!E28</f>
        <v>0</v>
      </c>
      <c r="N28" s="40">
        <f>F28-травень!F28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762.6</v>
      </c>
      <c r="F29" s="146">
        <v>828.15</v>
      </c>
      <c r="G29" s="49">
        <f t="shared" si="0"/>
        <v>65.54999999999995</v>
      </c>
      <c r="H29" s="40">
        <f t="shared" si="6"/>
        <v>108.59559402045633</v>
      </c>
      <c r="I29" s="56">
        <f t="shared" si="7"/>
        <v>-101.85000000000002</v>
      </c>
      <c r="J29" s="56">
        <f t="shared" si="8"/>
        <v>89.04838709677419</v>
      </c>
      <c r="K29" s="148">
        <f>F29-2001.3</f>
        <v>-1173.15</v>
      </c>
      <c r="L29" s="149">
        <f>F29/2001.3</f>
        <v>0.413806026083046</v>
      </c>
      <c r="M29" s="146">
        <f>E29-травень!E29</f>
        <v>11</v>
      </c>
      <c r="N29" s="40">
        <f>F29-травень!F29</f>
        <v>22.49000000000001</v>
      </c>
      <c r="O29" s="148">
        <f t="shared" si="3"/>
        <v>11.490000000000009</v>
      </c>
      <c r="P29" s="145">
        <f t="shared" si="9"/>
        <v>204.45454545454552</v>
      </c>
      <c r="Q29" s="148">
        <f>N29-403.3</f>
        <v>-380.81</v>
      </c>
      <c r="R29" s="149">
        <f>N29/403.3</f>
        <v>0.05576493925117781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E30-травень!E30</f>
        <v>0</v>
      </c>
      <c r="N30" s="40">
        <f>F30-травень!F30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E31-травень!E31</f>
        <v>0</v>
      </c>
      <c r="N31" s="40">
        <f>F31-травень!F31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E32-травень!E32</f>
        <v>0</v>
      </c>
      <c r="N32" s="40">
        <f>F32-травень!F32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38281.23</v>
      </c>
      <c r="F33" s="40">
        <v>39833.06</v>
      </c>
      <c r="G33" s="49">
        <f aca="true" t="shared" si="14" ref="G33:G72">F33-E33</f>
        <v>1551.8299999999945</v>
      </c>
      <c r="H33" s="40">
        <f aca="true" t="shared" si="15" ref="H33:H67">F33/E33*100</f>
        <v>104.05376211788386</v>
      </c>
      <c r="I33" s="56">
        <f>F33-D33</f>
        <v>-53732.94</v>
      </c>
      <c r="J33" s="56">
        <f aca="true" t="shared" si="16" ref="J33:J72">F33/D33*100</f>
        <v>42.57215227753671</v>
      </c>
      <c r="K33" s="141">
        <f>F33-39969.9</f>
        <v>-136.84000000000378</v>
      </c>
      <c r="L33" s="142">
        <f>F33/39969.9</f>
        <v>0.9965764237588784</v>
      </c>
      <c r="M33" s="40">
        <f>E33-травень!E33</f>
        <v>6540.770000000004</v>
      </c>
      <c r="N33" s="40">
        <f>F33-травень!F33</f>
        <v>7128.549999999999</v>
      </c>
      <c r="O33" s="53">
        <f t="shared" si="3"/>
        <v>587.7799999999952</v>
      </c>
      <c r="P33" s="56">
        <f aca="true" t="shared" si="17" ref="P33:P67">N33/M33*100</f>
        <v>108.98640374145543</v>
      </c>
      <c r="Q33" s="141">
        <f>N33-6504.1</f>
        <v>624.4499999999989</v>
      </c>
      <c r="R33" s="142">
        <f>N33/6504.1</f>
        <v>1.0960086714533908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E34-травень!E34</f>
        <v>0</v>
      </c>
      <c r="N34" s="40">
        <f>F34-травень!F34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E35-травень!E35</f>
        <v>0</v>
      </c>
      <c r="N35" s="40">
        <f>F35-травень!F35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E36-травень!E36</f>
        <v>0</v>
      </c>
      <c r="N36" s="40">
        <f>F36-травень!F36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E37-травень!E37</f>
        <v>0</v>
      </c>
      <c r="N37" s="40">
        <f>F37-травень!F37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E38-травень!E38</f>
        <v>0</v>
      </c>
      <c r="N38" s="40">
        <f>F38-травень!F38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E39-травень!E39</f>
        <v>0</v>
      </c>
      <c r="N39" s="40">
        <f>F39-травень!F39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E40-травень!E40</f>
        <v>0</v>
      </c>
      <c r="N40" s="40">
        <f>F40-травень!F40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E41-травень!E41</f>
        <v>0</v>
      </c>
      <c r="N41" s="40">
        <f>F41-травень!F41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E42-травень!E42</f>
        <v>0</v>
      </c>
      <c r="N42" s="40">
        <f>F42-травень!F42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E43-травень!E43</f>
        <v>0</v>
      </c>
      <c r="N43" s="40">
        <f>F43-травень!F43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E44-травень!E44</f>
        <v>0</v>
      </c>
      <c r="N44" s="40">
        <f>F44-травень!F44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E45-травень!E45</f>
        <v>0</v>
      </c>
      <c r="N45" s="40">
        <f>F45-травень!F45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E46-травень!E46</f>
        <v>0</v>
      </c>
      <c r="N46" s="40">
        <f>F46-травень!F46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E47-травень!E47</f>
        <v>0</v>
      </c>
      <c r="N47" s="40">
        <f>F47-травень!F47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E48-травень!E48</f>
        <v>0</v>
      </c>
      <c r="N48" s="40">
        <f>F48-травень!F48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E49-травень!E49</f>
        <v>0</v>
      </c>
      <c r="N49" s="40">
        <f>F49-травень!F49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E50-травень!E50</f>
        <v>0</v>
      </c>
      <c r="N50" s="40">
        <f>F50-травень!F50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E51-травень!E51</f>
        <v>0</v>
      </c>
      <c r="N51" s="40">
        <f>F51-травень!F51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E52-травень!E52</f>
        <v>0</v>
      </c>
      <c r="N52" s="40">
        <f>F52-травень!F52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E53-травень!E53</f>
        <v>0</v>
      </c>
      <c r="N53" s="40">
        <f>F53-травень!F53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E54-травень!E54</f>
        <v>0</v>
      </c>
      <c r="N54" s="40">
        <f>F54-травень!F54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28330.93</v>
      </c>
      <c r="F55" s="146">
        <v>29766.59</v>
      </c>
      <c r="G55" s="144">
        <f t="shared" si="14"/>
        <v>1435.6599999999999</v>
      </c>
      <c r="H55" s="146">
        <f t="shared" si="15"/>
        <v>105.0674651343955</v>
      </c>
      <c r="I55" s="145">
        <f t="shared" si="18"/>
        <v>-40499.41</v>
      </c>
      <c r="J55" s="145">
        <f t="shared" si="16"/>
        <v>42.36272165770074</v>
      </c>
      <c r="K55" s="148">
        <f>F55-28815.15</f>
        <v>951.4399999999987</v>
      </c>
      <c r="L55" s="149">
        <f>F55/28815.15</f>
        <v>1.0330187418771029</v>
      </c>
      <c r="M55" s="146">
        <f>E55-травень!E55</f>
        <v>4780.77</v>
      </c>
      <c r="N55" s="40">
        <f>F55-травень!F55</f>
        <v>5228.41</v>
      </c>
      <c r="O55" s="148">
        <f t="shared" si="3"/>
        <v>447.6399999999994</v>
      </c>
      <c r="P55" s="148">
        <f t="shared" si="17"/>
        <v>109.36334523518177</v>
      </c>
      <c r="Q55" s="163">
        <f>N55-4583</f>
        <v>645.4099999999999</v>
      </c>
      <c r="R55" s="164">
        <f>N55/4583</f>
        <v>1.1408269692341262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3398.3</v>
      </c>
      <c r="F56" s="40">
        <f>0.36+3265.71</f>
        <v>3266.07</v>
      </c>
      <c r="G56" s="49">
        <f t="shared" si="14"/>
        <v>-132.23000000000002</v>
      </c>
      <c r="H56" s="40">
        <f t="shared" si="15"/>
        <v>96.10893682135185</v>
      </c>
      <c r="I56" s="56">
        <f t="shared" si="18"/>
        <v>-3593.93</v>
      </c>
      <c r="J56" s="56">
        <f t="shared" si="16"/>
        <v>47.61034985422741</v>
      </c>
      <c r="K56" s="56">
        <f>F56-3189.3</f>
        <v>76.76999999999998</v>
      </c>
      <c r="L56" s="135">
        <f>F56/3189.3</f>
        <v>1.0240711127833695</v>
      </c>
      <c r="M56" s="40">
        <f>E56-травень!E56</f>
        <v>609.2000000000003</v>
      </c>
      <c r="N56" s="40">
        <f>F56-травень!F56</f>
        <v>574.75</v>
      </c>
      <c r="O56" s="53">
        <f t="shared" si="3"/>
        <v>-34.45000000000027</v>
      </c>
      <c r="P56" s="56">
        <f t="shared" si="17"/>
        <v>94.34504267892314</v>
      </c>
      <c r="Q56" s="56">
        <f>N56-539.8</f>
        <v>34.950000000000045</v>
      </c>
      <c r="R56" s="135">
        <f>N56/539.8</f>
        <v>1.0647462022971472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E57-травень!E57</f>
        <v>0</v>
      </c>
      <c r="N57" s="40">
        <f>F57-травень!F57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E58-травень!E58</f>
        <v>0</v>
      </c>
      <c r="N58" s="40">
        <f>F58-травень!F58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E59-травень!E59</f>
        <v>0</v>
      </c>
      <c r="N59" s="40">
        <f>F59-травень!F59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E60-травень!E60</f>
        <v>0</v>
      </c>
      <c r="N60" s="40">
        <f>F60-травень!F60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E61-травень!E61</f>
        <v>0</v>
      </c>
      <c r="N61" s="40">
        <f>F61-травень!F61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E62-травень!E62</f>
        <v>0</v>
      </c>
      <c r="N62" s="40">
        <f>F62-травень!F62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E63-травень!E63</f>
        <v>0</v>
      </c>
      <c r="N63" s="40">
        <f>F63-травень!F63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E64-травень!E64</f>
        <v>0</v>
      </c>
      <c r="N64" s="40">
        <f>F64-травень!F64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E65-травень!E65</f>
        <v>0</v>
      </c>
      <c r="N65" s="40">
        <f>F65-травень!F65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E66-травень!E66</f>
        <v>0</v>
      </c>
      <c r="N66" s="40">
        <f>F66-травень!F66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E67-травень!E67</f>
        <v>0</v>
      </c>
      <c r="N67" s="40">
        <f>F67-травень!F67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0.98</v>
      </c>
      <c r="G68" s="49">
        <f t="shared" si="14"/>
        <v>0.88</v>
      </c>
      <c r="H68" s="40"/>
      <c r="I68" s="56">
        <f t="shared" si="18"/>
        <v>0.88</v>
      </c>
      <c r="J68" s="56">
        <f t="shared" si="16"/>
        <v>979.9999999999999</v>
      </c>
      <c r="K68" s="56">
        <f>F68-0.4</f>
        <v>0.58</v>
      </c>
      <c r="L68" s="135"/>
      <c r="M68" s="40">
        <f>E68-травень!E68</f>
        <v>0</v>
      </c>
      <c r="N68" s="40">
        <f>F68-травень!F68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7428.5</v>
      </c>
      <c r="F74" s="22">
        <f>F77+F86+F88+F89+F94+F95+F96+F97+F99+F104+F87+F103</f>
        <v>6341.579999999999</v>
      </c>
      <c r="G74" s="50">
        <f aca="true" t="shared" si="24" ref="G74:G92">F74-E74</f>
        <v>-1086.920000000001</v>
      </c>
      <c r="H74" s="51">
        <f aca="true" t="shared" si="25" ref="H74:H87">F74/E74*100</f>
        <v>85.36824392542235</v>
      </c>
      <c r="I74" s="36">
        <f aca="true" t="shared" si="26" ref="I74:I92">F74-D74</f>
        <v>-12016.720000000001</v>
      </c>
      <c r="J74" s="36">
        <f aca="true" t="shared" si="27" ref="J74:J92">F74/D74*100</f>
        <v>34.54339454088886</v>
      </c>
      <c r="K74" s="36">
        <f>F74-9149.2</f>
        <v>-2807.6200000000017</v>
      </c>
      <c r="L74" s="136">
        <f>F74/9149.2</f>
        <v>0.6931294539413281</v>
      </c>
      <c r="M74" s="22">
        <f>M77+M86+M88+M89+M94+M95+M96+M97+M99+M87+M104</f>
        <v>1500.5</v>
      </c>
      <c r="N74" s="22">
        <f>N77+N86+N88+N89+N94+N95+N96+N97+N99+N32+N104+N87+N103</f>
        <v>993.2899999999998</v>
      </c>
      <c r="O74" s="55">
        <f aca="true" t="shared" si="28" ref="O74:O92">N74-M74</f>
        <v>-507.21000000000015</v>
      </c>
      <c r="P74" s="36">
        <f>N74/M74*100</f>
        <v>66.19726757747416</v>
      </c>
      <c r="Q74" s="36">
        <f>N74-1610.7</f>
        <v>-617.4100000000002</v>
      </c>
      <c r="R74" s="136">
        <f>N74/1610.7</f>
        <v>0.6166821878686284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E77-травень!E77</f>
        <v>0</v>
      </c>
      <c r="N77" s="40">
        <f>F77-травень!F77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N77-0</f>
        <v>0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E78-травень!E78</f>
        <v>0</v>
      </c>
      <c r="N78" s="40">
        <f>F78-травень!F78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E79-травень!E79</f>
        <v>0</v>
      </c>
      <c r="N79" s="40">
        <f>F79-травень!F79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E80-травень!E80</f>
        <v>0</v>
      </c>
      <c r="N80" s="40">
        <f>F80-травень!F80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E81-травень!E81</f>
        <v>0</v>
      </c>
      <c r="N81" s="40">
        <f>F81-травень!F81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E82-травень!E82</f>
        <v>0</v>
      </c>
      <c r="N82" s="40">
        <f>F82-травень!F82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E83-травень!E83</f>
        <v>0</v>
      </c>
      <c r="N83" s="40">
        <f>F83-травень!F83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E84-травень!E84</f>
        <v>0</v>
      </c>
      <c r="N84" s="40">
        <f>F84-травень!F84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E85-травень!E85</f>
        <v>0</v>
      </c>
      <c r="N85" s="40">
        <f>F85-травень!F85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1160</v>
      </c>
      <c r="F86" s="57">
        <v>0</v>
      </c>
      <c r="G86" s="49">
        <f t="shared" si="24"/>
        <v>-1160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F86-1184.7</f>
        <v>-1184.7</v>
      </c>
      <c r="L86" s="135">
        <f>F86/1184.7</f>
        <v>0</v>
      </c>
      <c r="M86" s="40">
        <f>E86-травень!E86</f>
        <v>480</v>
      </c>
      <c r="N86" s="40">
        <f>F86-травень!F86</f>
        <v>0</v>
      </c>
      <c r="O86" s="53">
        <f t="shared" si="28"/>
        <v>-480</v>
      </c>
      <c r="P86" s="56">
        <f t="shared" si="29"/>
        <v>0</v>
      </c>
      <c r="Q86" s="56">
        <f>N86-492.1</f>
        <v>-492.1</v>
      </c>
      <c r="R86" s="135">
        <f>N86/492.1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E87-травень!E87</f>
        <v>0</v>
      </c>
      <c r="N87" s="40">
        <f>F87-травень!F87</f>
        <v>0</v>
      </c>
      <c r="O87" s="53">
        <f t="shared" si="28"/>
        <v>0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</v>
      </c>
      <c r="F88" s="57">
        <v>5.6</v>
      </c>
      <c r="G88" s="49">
        <f t="shared" si="24"/>
        <v>3.5999999999999996</v>
      </c>
      <c r="H88" s="40">
        <f>F88/E88*100</f>
        <v>280</v>
      </c>
      <c r="I88" s="56">
        <f t="shared" si="26"/>
        <v>0.5</v>
      </c>
      <c r="J88" s="56">
        <f t="shared" si="27"/>
        <v>109.80392156862746</v>
      </c>
      <c r="K88" s="56">
        <f>F88-0.1</f>
        <v>5.5</v>
      </c>
      <c r="L88" s="135"/>
      <c r="M88" s="40">
        <f>E88-травень!E88</f>
        <v>0.5</v>
      </c>
      <c r="N88" s="40">
        <f>F88-травень!F88</f>
        <v>0.5199999999999996</v>
      </c>
      <c r="O88" s="53">
        <f t="shared" si="28"/>
        <v>0.019999999999999574</v>
      </c>
      <c r="P88" s="56">
        <f>N88/M88*100</f>
        <v>103.99999999999991</v>
      </c>
      <c r="Q88" s="56">
        <f>N88-0</f>
        <v>0.5199999999999996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84</v>
      </c>
      <c r="F89" s="57">
        <v>61.77</v>
      </c>
      <c r="G89" s="49">
        <f t="shared" si="24"/>
        <v>-22.229999999999997</v>
      </c>
      <c r="H89" s="40">
        <f>F89/E89*100</f>
        <v>73.53571428571429</v>
      </c>
      <c r="I89" s="56">
        <f t="shared" si="26"/>
        <v>-113.22999999999999</v>
      </c>
      <c r="J89" s="56">
        <f t="shared" si="27"/>
        <v>35.29714285714286</v>
      </c>
      <c r="K89" s="56">
        <f>F89-81.2</f>
        <v>-19.43</v>
      </c>
      <c r="L89" s="135">
        <f>F89/81.2</f>
        <v>0.7607142857142857</v>
      </c>
      <c r="M89" s="40">
        <f>E89-травень!E89</f>
        <v>15</v>
      </c>
      <c r="N89" s="40">
        <f>F89-травень!F89</f>
        <v>14.68</v>
      </c>
      <c r="O89" s="53">
        <f t="shared" si="28"/>
        <v>-0.3200000000000003</v>
      </c>
      <c r="P89" s="56">
        <f>N89/M89*100</f>
        <v>97.86666666666667</v>
      </c>
      <c r="Q89" s="56">
        <f>N89-7.8</f>
        <v>6.88</v>
      </c>
      <c r="R89" s="135">
        <f>N89/7.8</f>
        <v>1.882051282051282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E90-травень!E90</f>
        <v>0</v>
      </c>
      <c r="N90" s="40">
        <f>F90-травень!F90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E91-травень!E91</f>
        <v>0</v>
      </c>
      <c r="N91" s="40">
        <f>F91-травень!F91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E92-травень!E92</f>
        <v>0</v>
      </c>
      <c r="N92" s="40">
        <f>F92-травень!F92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E93-травень!E93</f>
        <v>0</v>
      </c>
      <c r="N93" s="40">
        <f>F93-травень!F93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E94-травень!E94</f>
        <v>0</v>
      </c>
      <c r="N94" s="40">
        <f>F94-травень!F94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3531.5</v>
      </c>
      <c r="F95" s="57">
        <v>3551.7</v>
      </c>
      <c r="G95" s="49">
        <f t="shared" si="31"/>
        <v>20.199999999999818</v>
      </c>
      <c r="H95" s="40">
        <f>F95/E95*100</f>
        <v>100.57199490301572</v>
      </c>
      <c r="I95" s="56">
        <f t="shared" si="32"/>
        <v>-3448.3</v>
      </c>
      <c r="J95" s="56">
        <f>F95/D95*100</f>
        <v>50.73857142857142</v>
      </c>
      <c r="K95" s="56">
        <f>F95-3630.2</f>
        <v>-78.5</v>
      </c>
      <c r="L95" s="135">
        <f>F95/3630.2</f>
        <v>0.978375847060768</v>
      </c>
      <c r="M95" s="40">
        <f>E95-травень!E95</f>
        <v>575</v>
      </c>
      <c r="N95" s="40">
        <f>F95-травень!F95</f>
        <v>589.54</v>
      </c>
      <c r="O95" s="53">
        <f t="shared" si="33"/>
        <v>14.539999999999964</v>
      </c>
      <c r="P95" s="56">
        <f>N95/M95*100</f>
        <v>102.52869565217391</v>
      </c>
      <c r="Q95" s="56">
        <f>N95-681.8</f>
        <v>-92.25999999999999</v>
      </c>
      <c r="R95" s="135">
        <f>N95/681.8</f>
        <v>0.8646817248459959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474.5</v>
      </c>
      <c r="F96" s="57">
        <v>415.33</v>
      </c>
      <c r="G96" s="49">
        <f t="shared" si="31"/>
        <v>-59.170000000000016</v>
      </c>
      <c r="H96" s="40">
        <f>F96/E96*100</f>
        <v>87.5300316122234</v>
      </c>
      <c r="I96" s="56">
        <f t="shared" si="32"/>
        <v>-784.6700000000001</v>
      </c>
      <c r="J96" s="56">
        <f>F96/D96*100</f>
        <v>34.61083333333333</v>
      </c>
      <c r="K96" s="56">
        <f>F96-463.2</f>
        <v>-47.870000000000005</v>
      </c>
      <c r="L96" s="135">
        <f>F96/463.2</f>
        <v>0.896653713298791</v>
      </c>
      <c r="M96" s="40">
        <f>E96-травень!E96</f>
        <v>100</v>
      </c>
      <c r="N96" s="40">
        <f>F96-травень!F96</f>
        <v>64.34999999999997</v>
      </c>
      <c r="O96" s="53">
        <f t="shared" si="33"/>
        <v>-35.650000000000034</v>
      </c>
      <c r="P96" s="56">
        <f>N96/M96*100</f>
        <v>64.34999999999997</v>
      </c>
      <c r="Q96" s="56">
        <f>N96-89.2</f>
        <v>-24.850000000000037</v>
      </c>
      <c r="R96" s="135">
        <f>N96/89.2</f>
        <v>0.7214125560538113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0.23</v>
      </c>
      <c r="G97" s="49">
        <f t="shared" si="31"/>
        <v>0.23</v>
      </c>
      <c r="H97" s="40"/>
      <c r="I97" s="56">
        <f t="shared" si="32"/>
        <v>-39.77</v>
      </c>
      <c r="J97" s="56"/>
      <c r="K97" s="56">
        <f>F97-16.2</f>
        <v>-15.969999999999999</v>
      </c>
      <c r="L97" s="135">
        <f>F97/16.2</f>
        <v>0.014197530864197533</v>
      </c>
      <c r="M97" s="40">
        <f>E97-травень!E97</f>
        <v>0</v>
      </c>
      <c r="N97" s="40">
        <f>F97-травень!F97</f>
        <v>0.23</v>
      </c>
      <c r="O97" s="53">
        <f t="shared" si="33"/>
        <v>0.23</v>
      </c>
      <c r="P97" s="56"/>
      <c r="Q97" s="56">
        <f>N97-0.9</f>
        <v>-0.67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E98-травень!E98</f>
        <v>0</v>
      </c>
      <c r="N98" s="40">
        <f>F98-травень!F98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1837</v>
      </c>
      <c r="F99" s="57">
        <f>1.36+1967.92</f>
        <v>1969.28</v>
      </c>
      <c r="G99" s="49">
        <f t="shared" si="31"/>
        <v>132.27999999999997</v>
      </c>
      <c r="H99" s="40">
        <f>F99/E99*100</f>
        <v>107.20087098530213</v>
      </c>
      <c r="I99" s="56">
        <f t="shared" si="32"/>
        <v>-2603.42</v>
      </c>
      <c r="J99" s="56">
        <f>F99/D99*100</f>
        <v>43.06602226255823</v>
      </c>
      <c r="K99" s="56">
        <f>F99-1991.7</f>
        <v>-22.420000000000073</v>
      </c>
      <c r="L99" s="135">
        <f>F99/1991.7</f>
        <v>0.9887432846312195</v>
      </c>
      <c r="M99" s="40">
        <f>E99-травень!E99</f>
        <v>330</v>
      </c>
      <c r="N99" s="40">
        <f>F99-травень!F99</f>
        <v>319.3499999999999</v>
      </c>
      <c r="O99" s="53">
        <f t="shared" si="33"/>
        <v>-10.650000000000091</v>
      </c>
      <c r="P99" s="56">
        <f>N99/M99*100</f>
        <v>96.77272727272724</v>
      </c>
      <c r="Q99" s="56">
        <f>N99-325.9</f>
        <v>-6.550000000000068</v>
      </c>
      <c r="R99" s="135">
        <f>N99/325.9</f>
        <v>0.9799018103712793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E100-травень!E100</f>
        <v>0</v>
      </c>
      <c r="N100" s="40">
        <f>F100-травень!F100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E101-травень!E101</f>
        <v>0</v>
      </c>
      <c r="N101" s="40">
        <f>F101-травень!F101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362.69</v>
      </c>
      <c r="G102" s="144"/>
      <c r="H102" s="146"/>
      <c r="I102" s="145"/>
      <c r="J102" s="145"/>
      <c r="K102" s="148">
        <f>F102-244.8</f>
        <v>117.88999999999999</v>
      </c>
      <c r="L102" s="149">
        <f>F102/244.8</f>
        <v>1.4815767973856209</v>
      </c>
      <c r="M102" s="40">
        <f>E102-травень!E102</f>
        <v>0</v>
      </c>
      <c r="N102" s="146">
        <f>F102-травень!F102</f>
        <v>72.70999999999998</v>
      </c>
      <c r="O102" s="53"/>
      <c r="P102" s="60"/>
      <c r="Q102" s="60">
        <f>N102-60.1</f>
        <v>12.609999999999978</v>
      </c>
      <c r="R102" s="138">
        <f>N102/60.1</f>
        <v>1.2098169717138099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66">
        <v>4.62</v>
      </c>
      <c r="G103" s="144"/>
      <c r="H103" s="146"/>
      <c r="I103" s="145"/>
      <c r="J103" s="145"/>
      <c r="K103" s="148"/>
      <c r="L103" s="149"/>
      <c r="M103" s="40"/>
      <c r="N103" s="40">
        <f>F103</f>
        <v>4.62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-51.59</v>
      </c>
      <c r="K104" s="56">
        <f>F104-59.1</f>
        <v>-45.82</v>
      </c>
      <c r="L104" s="135">
        <f>F104/59.1</f>
        <v>0.22470389170896785</v>
      </c>
      <c r="M104" s="40">
        <f>E104-травень!E103</f>
        <v>0</v>
      </c>
      <c r="N104" s="40">
        <f>F104-травень!F103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15.2</v>
      </c>
      <c r="F105" s="57">
        <v>13.91</v>
      </c>
      <c r="G105" s="49">
        <f>F105-E105</f>
        <v>-1.2899999999999991</v>
      </c>
      <c r="H105" s="40">
        <f>F105/E105*100</f>
        <v>91.51315789473685</v>
      </c>
      <c r="I105" s="56">
        <f t="shared" si="34"/>
        <v>-31.09</v>
      </c>
      <c r="J105" s="56">
        <f aca="true" t="shared" si="36" ref="J105:J110">F105/D105*100</f>
        <v>30.91111111111111</v>
      </c>
      <c r="K105" s="56">
        <f>F105-13.4</f>
        <v>0.5099999999999998</v>
      </c>
      <c r="L105" s="135">
        <f>F105/13.4</f>
        <v>1.0380597014925372</v>
      </c>
      <c r="M105" s="40">
        <f>E105-травень!E104</f>
        <v>3</v>
      </c>
      <c r="N105" s="40">
        <f>F105-травень!F104</f>
        <v>2.24</v>
      </c>
      <c r="O105" s="53">
        <f t="shared" si="35"/>
        <v>-0.7599999999999998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0.08</v>
      </c>
      <c r="G106" s="49"/>
      <c r="H106" s="40"/>
      <c r="I106" s="56"/>
      <c r="J106" s="56"/>
      <c r="K106" s="56"/>
      <c r="L106" s="135"/>
      <c r="M106" s="40">
        <f>E106-травень!E105</f>
        <v>0</v>
      </c>
      <c r="N106" s="40">
        <f>F106-травень!F105</f>
        <v>0.04</v>
      </c>
      <c r="O106" s="53">
        <f t="shared" si="35"/>
        <v>0.04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240710.23</v>
      </c>
      <c r="F107" s="22">
        <f>F8+F74+F105+F106</f>
        <v>232774.59</v>
      </c>
      <c r="G107" s="50">
        <f>F107-E107</f>
        <v>-7935.640000000014</v>
      </c>
      <c r="H107" s="51">
        <f>F107/E107*100</f>
        <v>96.70323940947586</v>
      </c>
      <c r="I107" s="36">
        <f t="shared" si="34"/>
        <v>-274105.01</v>
      </c>
      <c r="J107" s="36">
        <f t="shared" si="36"/>
        <v>45.923053521980364</v>
      </c>
      <c r="K107" s="36">
        <f>F107-237104</f>
        <v>-4329.4100000000035</v>
      </c>
      <c r="L107" s="136">
        <f>F107/237104</f>
        <v>0.9817404598825832</v>
      </c>
      <c r="M107" s="22">
        <f>M8+M74+M105+M106</f>
        <v>43098.97</v>
      </c>
      <c r="N107" s="22">
        <f>N8+N74+N105+N106</f>
        <v>42609.39000000001</v>
      </c>
      <c r="O107" s="55">
        <f t="shared" si="35"/>
        <v>-489.57999999999447</v>
      </c>
      <c r="P107" s="36">
        <f>N107/M107*100</f>
        <v>98.86405638000167</v>
      </c>
      <c r="Q107" s="36">
        <f>N107-42414.8</f>
        <v>194.59000000000378</v>
      </c>
      <c r="R107" s="136">
        <f>N107/42414.8</f>
        <v>1.004587785395664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191020.8</v>
      </c>
      <c r="F108" s="71">
        <f>F10-F18+F96</f>
        <v>183413.46</v>
      </c>
      <c r="G108" s="71">
        <f>G10-G18+G96</f>
        <v>-7607.339999999984</v>
      </c>
      <c r="H108" s="72">
        <f>F108/E108*100</f>
        <v>96.01753316916273</v>
      </c>
      <c r="I108" s="52">
        <f t="shared" si="34"/>
        <v>-204799.74000000002</v>
      </c>
      <c r="J108" s="52">
        <f t="shared" si="36"/>
        <v>47.245549610368734</v>
      </c>
      <c r="K108" s="52">
        <f>F108-179685.8</f>
        <v>3727.6600000000035</v>
      </c>
      <c r="L108" s="137">
        <f>F108/179685.8</f>
        <v>1.0207454345307199</v>
      </c>
      <c r="M108" s="71">
        <f>M10-M18+M96</f>
        <v>34534.5</v>
      </c>
      <c r="N108" s="71">
        <f>N10-N18+N96</f>
        <v>34302.33000000001</v>
      </c>
      <c r="O108" s="53">
        <f t="shared" si="35"/>
        <v>-232.16999999999098</v>
      </c>
      <c r="P108" s="52">
        <f>N108/M108*100</f>
        <v>99.32771576249839</v>
      </c>
      <c r="Q108" s="52">
        <f>N108-33396.9</f>
        <v>905.4300000000076</v>
      </c>
      <c r="R108" s="137">
        <f>N108/33396.9</f>
        <v>1.0271111989436148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49689.43000000002</v>
      </c>
      <c r="F109" s="71">
        <f>F107-F108</f>
        <v>49361.130000000005</v>
      </c>
      <c r="G109" s="62">
        <f>F109-E109</f>
        <v>-328.30000000001746</v>
      </c>
      <c r="H109" s="72">
        <f>F109/E109*100</f>
        <v>99.33929610381924</v>
      </c>
      <c r="I109" s="52">
        <f t="shared" si="34"/>
        <v>-69305.26999999996</v>
      </c>
      <c r="J109" s="52">
        <f t="shared" si="36"/>
        <v>41.59655134056482</v>
      </c>
      <c r="K109" s="52">
        <f>F109-57418.1</f>
        <v>-8056.969999999994</v>
      </c>
      <c r="L109" s="137">
        <f>F109/57418.1</f>
        <v>0.8596789165785703</v>
      </c>
      <c r="M109" s="71">
        <f>M107-M108</f>
        <v>8564.470000000001</v>
      </c>
      <c r="N109" s="71">
        <f>N107-N108</f>
        <v>8307.059999999998</v>
      </c>
      <c r="O109" s="53">
        <f t="shared" si="35"/>
        <v>-257.4100000000035</v>
      </c>
      <c r="P109" s="52">
        <f>N109/M109*100</f>
        <v>96.99444332223706</v>
      </c>
      <c r="Q109" s="52">
        <f>N109-9017.9</f>
        <v>-710.840000000002</v>
      </c>
      <c r="R109" s="137">
        <f>N109/9017.9</f>
        <v>0.9211745528338081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185650.9</v>
      </c>
      <c r="F110" s="71">
        <f>F108</f>
        <v>183413.46</v>
      </c>
      <c r="G110" s="111">
        <f>F110-E110</f>
        <v>-2237.4400000000023</v>
      </c>
      <c r="H110" s="72">
        <f>F110/E110*100</f>
        <v>98.794813275885</v>
      </c>
      <c r="I110" s="81">
        <f t="shared" si="34"/>
        <v>-204799.74000000002</v>
      </c>
      <c r="J110" s="52">
        <f t="shared" si="36"/>
        <v>47.245549610368734</v>
      </c>
      <c r="K110" s="52"/>
      <c r="L110" s="137"/>
      <c r="M110" s="72">
        <f>E110-травень!E109</f>
        <v>34534.5</v>
      </c>
      <c r="N110" s="71">
        <f>N108</f>
        <v>34302.33000000001</v>
      </c>
      <c r="O110" s="118">
        <f t="shared" si="35"/>
        <v>-232.16999999999098</v>
      </c>
      <c r="P110" s="52">
        <f>N110/M110*100</f>
        <v>99.32771576249839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245</v>
      </c>
      <c r="C112" s="93"/>
      <c r="D112" s="84"/>
      <c r="E112" s="111">
        <f>0-травень!G109</f>
        <v>2005.2699999999895</v>
      </c>
      <c r="F112" s="84">
        <v>0</v>
      </c>
      <c r="G112" s="62">
        <f>F112-E112</f>
        <v>-2005.2699999999895</v>
      </c>
      <c r="H112" s="72"/>
      <c r="I112" s="85"/>
      <c r="J112" s="52"/>
      <c r="K112" s="52"/>
      <c r="L112" s="137"/>
      <c r="M112" s="159">
        <f>E112</f>
        <v>2005.2699999999895</v>
      </c>
      <c r="N112" s="84">
        <v>0</v>
      </c>
      <c r="O112" s="118">
        <f>N112-M112</f>
        <v>-2005.2699999999895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-1.14</v>
      </c>
      <c r="G114" s="49">
        <f aca="true" t="shared" si="37" ref="G114:G126">F114-E114</f>
        <v>-1.14</v>
      </c>
      <c r="H114" s="40"/>
      <c r="I114" s="60">
        <f aca="true" t="shared" si="38" ref="I114:I125">F114-D114</f>
        <v>-1.14</v>
      </c>
      <c r="J114" s="60"/>
      <c r="K114" s="60">
        <f>F114-7.8</f>
        <v>-8.94</v>
      </c>
      <c r="L114" s="138">
        <f>F114/7.8</f>
        <v>-0.14615384615384613</v>
      </c>
      <c r="M114" s="40">
        <f>E114-травень!E113</f>
        <v>0</v>
      </c>
      <c r="N114" s="40">
        <f>F114-травень!F113</f>
        <v>0</v>
      </c>
      <c r="O114" s="53"/>
      <c r="P114" s="60"/>
      <c r="Q114" s="60">
        <f>N114-1.1</f>
        <v>-1.1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1697.1</v>
      </c>
      <c r="F115" s="32">
        <v>606.08</v>
      </c>
      <c r="G115" s="49">
        <f t="shared" si="37"/>
        <v>-1091.02</v>
      </c>
      <c r="H115" s="40">
        <f aca="true" t="shared" si="39" ref="H115:H126">F115/E115*100</f>
        <v>35.71268634729834</v>
      </c>
      <c r="I115" s="60">
        <f t="shared" si="38"/>
        <v>-3065.42</v>
      </c>
      <c r="J115" s="60">
        <f aca="true" t="shared" si="40" ref="J115:J121">F115/D115*100</f>
        <v>16.50769440283263</v>
      </c>
      <c r="K115" s="60">
        <f>F115-1891.5</f>
        <v>-1285.42</v>
      </c>
      <c r="L115" s="138">
        <f>F115/1891.5</f>
        <v>0.32042294475284167</v>
      </c>
      <c r="M115" s="40">
        <f>E115-травень!E114</f>
        <v>327.5</v>
      </c>
      <c r="N115" s="40">
        <f>F115-травень!F114</f>
        <v>106.32000000000005</v>
      </c>
      <c r="O115" s="53">
        <f aca="true" t="shared" si="41" ref="O115:O126">N115-M115</f>
        <v>-221.17999999999995</v>
      </c>
      <c r="P115" s="60">
        <f>N115/M115*100</f>
        <v>32.464122137404594</v>
      </c>
      <c r="Q115" s="60">
        <f>N115-276.6</f>
        <v>-170.27999999999997</v>
      </c>
      <c r="R115" s="138">
        <f>N115/276.6</f>
        <v>0.38438177874186563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134.5</v>
      </c>
      <c r="F116" s="32">
        <v>165.21</v>
      </c>
      <c r="G116" s="49">
        <f t="shared" si="37"/>
        <v>30.710000000000008</v>
      </c>
      <c r="H116" s="40">
        <f t="shared" si="39"/>
        <v>122.83271375464683</v>
      </c>
      <c r="I116" s="60">
        <f t="shared" si="38"/>
        <v>-102.89000000000001</v>
      </c>
      <c r="J116" s="60">
        <f t="shared" si="40"/>
        <v>61.622528907124206</v>
      </c>
      <c r="K116" s="60">
        <f>F116-131.2</f>
        <v>34.01000000000002</v>
      </c>
      <c r="L116" s="138">
        <f>F116/131.2</f>
        <v>1.25922256097561</v>
      </c>
      <c r="M116" s="40">
        <f>E116-травень!E115</f>
        <v>22</v>
      </c>
      <c r="N116" s="40">
        <f>F116-травень!F115</f>
        <v>45.67</v>
      </c>
      <c r="O116" s="53">
        <f t="shared" si="41"/>
        <v>23.67</v>
      </c>
      <c r="P116" s="60">
        <f>N116/M116*100</f>
        <v>207.59090909090912</v>
      </c>
      <c r="Q116" s="60">
        <f>N116-25.8</f>
        <v>19.87</v>
      </c>
      <c r="R116" s="138">
        <f>N116/25.8</f>
        <v>1.77015503875969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1831.6</v>
      </c>
      <c r="F117" s="38">
        <f>SUM(F114:F116)</f>
        <v>770.1500000000001</v>
      </c>
      <c r="G117" s="62">
        <f t="shared" si="37"/>
        <v>-1061.4499999999998</v>
      </c>
      <c r="H117" s="72">
        <f t="shared" si="39"/>
        <v>42.04793623061804</v>
      </c>
      <c r="I117" s="61">
        <f t="shared" si="38"/>
        <v>-3169.45</v>
      </c>
      <c r="J117" s="61">
        <f t="shared" si="40"/>
        <v>19.54893897857651</v>
      </c>
      <c r="K117" s="61">
        <f>F117-2030.5</f>
        <v>-1260.35</v>
      </c>
      <c r="L117" s="139">
        <f>F117/2030.5</f>
        <v>0.3792908150701798</v>
      </c>
      <c r="M117" s="62">
        <f>M115+M116+M114</f>
        <v>349.5</v>
      </c>
      <c r="N117" s="38">
        <f>SUM(N114:N116)</f>
        <v>151.99000000000007</v>
      </c>
      <c r="O117" s="61">
        <f t="shared" si="41"/>
        <v>-197.50999999999993</v>
      </c>
      <c r="P117" s="61">
        <f>N117/M117*100</f>
        <v>43.48783977110159</v>
      </c>
      <c r="Q117" s="61">
        <f>N117-303.5</f>
        <v>-151.50999999999993</v>
      </c>
      <c r="R117" s="139">
        <f>N117/303.5</f>
        <v>0.5007907742998354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109.5</v>
      </c>
      <c r="F119" s="33">
        <v>138.28</v>
      </c>
      <c r="G119" s="49">
        <f t="shared" si="37"/>
        <v>28.78</v>
      </c>
      <c r="H119" s="40">
        <f t="shared" si="39"/>
        <v>126.28310502283104</v>
      </c>
      <c r="I119" s="60">
        <f t="shared" si="38"/>
        <v>-128.92</v>
      </c>
      <c r="J119" s="60">
        <f t="shared" si="40"/>
        <v>51.75149700598802</v>
      </c>
      <c r="K119" s="60">
        <f>F119-95.9</f>
        <v>42.379999999999995</v>
      </c>
      <c r="L119" s="138">
        <f>F119/95.9</f>
        <v>1.4419186652763294</v>
      </c>
      <c r="M119" s="40">
        <f>E119-травень!E118</f>
        <v>3</v>
      </c>
      <c r="N119" s="40">
        <f>F119-травень!F118</f>
        <v>8.530000000000001</v>
      </c>
      <c r="O119" s="53">
        <f>N119-M119</f>
        <v>5.530000000000001</v>
      </c>
      <c r="P119" s="60">
        <f>N119/M119*100</f>
        <v>284.33333333333337</v>
      </c>
      <c r="Q119" s="60">
        <f>N119-7.4</f>
        <v>1.1300000000000008</v>
      </c>
      <c r="R119" s="138">
        <f>N119/7.4</f>
        <v>1.1527027027027028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34212.6</v>
      </c>
      <c r="F120" s="33">
        <v>38053.71</v>
      </c>
      <c r="G120" s="49">
        <f t="shared" si="37"/>
        <v>3841.1100000000006</v>
      </c>
      <c r="H120" s="40">
        <f t="shared" si="39"/>
        <v>111.22717946019887</v>
      </c>
      <c r="I120" s="53">
        <f t="shared" si="38"/>
        <v>-33922.280000000006</v>
      </c>
      <c r="J120" s="60">
        <f t="shared" si="40"/>
        <v>52.870005678282425</v>
      </c>
      <c r="K120" s="60">
        <f>F120-32510.8</f>
        <v>5542.91</v>
      </c>
      <c r="L120" s="138">
        <f>F120/32510.8</f>
        <v>1.1704944203157104</v>
      </c>
      <c r="M120" s="40">
        <f>E120-травень!E119</f>
        <v>2600</v>
      </c>
      <c r="N120" s="40">
        <f>F120-травень!F119</f>
        <v>2879.489999999998</v>
      </c>
      <c r="O120" s="53">
        <f t="shared" si="41"/>
        <v>279.48999999999796</v>
      </c>
      <c r="P120" s="60">
        <f aca="true" t="shared" si="42" ref="P120:P125">N120/M120*100</f>
        <v>110.7496153846153</v>
      </c>
      <c r="Q120" s="60">
        <f>N120-2488.2</f>
        <v>391.28999999999814</v>
      </c>
      <c r="R120" s="138">
        <f>N120/2488.2</f>
        <v>1.157258258982396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1667</v>
      </c>
      <c r="F121" s="33">
        <v>1658.94</v>
      </c>
      <c r="G121" s="49">
        <f t="shared" si="37"/>
        <v>-8.059999999999945</v>
      </c>
      <c r="H121" s="40">
        <f t="shared" si="39"/>
        <v>99.51649670065987</v>
      </c>
      <c r="I121" s="60">
        <f t="shared" si="38"/>
        <v>-8341.06</v>
      </c>
      <c r="J121" s="60">
        <f t="shared" si="40"/>
        <v>16.5894</v>
      </c>
      <c r="K121" s="60">
        <f>F121-624.6</f>
        <v>1034.3400000000001</v>
      </c>
      <c r="L121" s="138">
        <f>F121/624.6</f>
        <v>2.6560038424591736</v>
      </c>
      <c r="M121" s="40">
        <f>E121-травень!E120</f>
        <v>19</v>
      </c>
      <c r="N121" s="40">
        <f>F121-травень!F120</f>
        <v>47.00999999999999</v>
      </c>
      <c r="O121" s="53">
        <f t="shared" si="41"/>
        <v>28.00999999999999</v>
      </c>
      <c r="P121" s="60">
        <f t="shared" si="42"/>
        <v>247.4210526315789</v>
      </c>
      <c r="Q121" s="60">
        <f>N121-188.5</f>
        <v>-141.49</v>
      </c>
      <c r="R121" s="138">
        <f>N121/188.5</f>
        <v>0.24938992042440314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4822.6</v>
      </c>
      <c r="F122" s="33">
        <v>2117.13</v>
      </c>
      <c r="G122" s="49">
        <f t="shared" si="37"/>
        <v>-2705.4700000000003</v>
      </c>
      <c r="H122" s="40">
        <f t="shared" si="39"/>
        <v>43.900178327043506</v>
      </c>
      <c r="I122" s="60">
        <f t="shared" si="38"/>
        <v>-20960.87</v>
      </c>
      <c r="J122" s="60">
        <f>F122/D122*100</f>
        <v>9.17380188924517</v>
      </c>
      <c r="K122" s="60">
        <f>F122-13847.9</f>
        <v>-11730.77</v>
      </c>
      <c r="L122" s="138">
        <f>F122/13847.9</f>
        <v>0.15288455289249633</v>
      </c>
      <c r="M122" s="40">
        <f>E122-травень!E121</f>
        <v>1767.2000000000003</v>
      </c>
      <c r="N122" s="40">
        <f>F122-травень!F121</f>
        <v>46.38000000000011</v>
      </c>
      <c r="O122" s="53">
        <f t="shared" si="41"/>
        <v>-1720.8200000000002</v>
      </c>
      <c r="P122" s="60">
        <f t="shared" si="42"/>
        <v>2.6244907197827128</v>
      </c>
      <c r="Q122" s="60">
        <f>N122-6379.2</f>
        <v>-6332.82</v>
      </c>
      <c r="R122" s="138">
        <f>N122/6379.2</f>
        <v>0.0072705041384499795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862.45</v>
      </c>
      <c r="F123" s="33">
        <v>728.31</v>
      </c>
      <c r="G123" s="49">
        <f t="shared" si="37"/>
        <v>-134.1400000000001</v>
      </c>
      <c r="H123" s="40">
        <f t="shared" si="39"/>
        <v>84.4466345875123</v>
      </c>
      <c r="I123" s="60">
        <f t="shared" si="38"/>
        <v>-1271.69</v>
      </c>
      <c r="J123" s="60">
        <f>F123/D123*100</f>
        <v>36.415499999999994</v>
      </c>
      <c r="K123" s="60">
        <f>F123-1200</f>
        <v>-471.69000000000005</v>
      </c>
      <c r="L123" s="138">
        <f>F123/1200</f>
        <v>0.6069249999999999</v>
      </c>
      <c r="M123" s="40">
        <f>E123-травень!E122</f>
        <v>189.59000000000003</v>
      </c>
      <c r="N123" s="40">
        <f>F123-травень!F122</f>
        <v>27.519999999999982</v>
      </c>
      <c r="O123" s="53">
        <f t="shared" si="41"/>
        <v>-162.07000000000005</v>
      </c>
      <c r="P123" s="60">
        <f t="shared" si="42"/>
        <v>14.515533519700394</v>
      </c>
      <c r="Q123" s="60">
        <f>N123-0</f>
        <v>27.519999999999982</v>
      </c>
      <c r="R123" s="138" t="e">
        <f>N123/0</f>
        <v>#DIV/0!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41674.149999999994</v>
      </c>
      <c r="F124" s="38">
        <f>F120+F121+F122+F123+F119</f>
        <v>42696.369999999995</v>
      </c>
      <c r="G124" s="62">
        <f t="shared" si="37"/>
        <v>1022.2200000000012</v>
      </c>
      <c r="H124" s="72">
        <f t="shared" si="39"/>
        <v>102.45288746141192</v>
      </c>
      <c r="I124" s="61">
        <f t="shared" si="38"/>
        <v>-64624.82000000001</v>
      </c>
      <c r="J124" s="61">
        <f>F124/D124*100</f>
        <v>39.78372770559103</v>
      </c>
      <c r="K124" s="61">
        <f>F124-48279.1</f>
        <v>-5582.730000000003</v>
      </c>
      <c r="L124" s="139">
        <f>F124/48279.1</f>
        <v>0.8843654914859639</v>
      </c>
      <c r="M124" s="62">
        <f>M120+M121+M122+M123+M119</f>
        <v>4578.790000000001</v>
      </c>
      <c r="N124" s="62">
        <f>N120+N121+N122+N123+N119</f>
        <v>3008.9299999999985</v>
      </c>
      <c r="O124" s="61">
        <f t="shared" si="41"/>
        <v>-1569.8600000000024</v>
      </c>
      <c r="P124" s="61">
        <f t="shared" si="42"/>
        <v>65.71452283245132</v>
      </c>
      <c r="Q124" s="61">
        <f>N124-9063.3</f>
        <v>-6054.370000000001</v>
      </c>
      <c r="R124" s="139">
        <f>N124/9063.3</f>
        <v>0.33199055531649607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17.16</v>
      </c>
      <c r="F125" s="33">
        <v>14.17</v>
      </c>
      <c r="G125" s="49">
        <f t="shared" si="37"/>
        <v>-2.99</v>
      </c>
      <c r="H125" s="40">
        <f t="shared" si="39"/>
        <v>82.57575757575758</v>
      </c>
      <c r="I125" s="60">
        <f t="shared" si="38"/>
        <v>-29.33</v>
      </c>
      <c r="J125" s="60">
        <f>F125/D125*100</f>
        <v>32.57471264367816</v>
      </c>
      <c r="K125" s="60">
        <f>F125-100.8</f>
        <v>-86.63</v>
      </c>
      <c r="L125" s="138">
        <f>F125/100.8</f>
        <v>0.14057539682539683</v>
      </c>
      <c r="M125" s="40">
        <f>E125-травень!E124</f>
        <v>3</v>
      </c>
      <c r="N125" s="40">
        <f>F125-травень!F124</f>
        <v>3.459999999999999</v>
      </c>
      <c r="O125" s="53">
        <f t="shared" si="41"/>
        <v>0.4599999999999991</v>
      </c>
      <c r="P125" s="60">
        <f t="shared" si="42"/>
        <v>115.33333333333331</v>
      </c>
      <c r="Q125" s="60">
        <f>N125-1.6</f>
        <v>1.859999999999999</v>
      </c>
      <c r="R125" s="138">
        <f>N125/1.6</f>
        <v>2.162499999999999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E126-травень!E125</f>
        <v>0</v>
      </c>
      <c r="N126" s="40">
        <f>F126-травень!F125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17.76</v>
      </c>
      <c r="G127" s="49"/>
      <c r="H127" s="40"/>
      <c r="I127" s="63"/>
      <c r="J127" s="63"/>
      <c r="K127" s="53">
        <f>F127-8.4</f>
        <v>9.360000000000001</v>
      </c>
      <c r="L127" s="138">
        <f>F127/8.4</f>
        <v>2.1142857142857143</v>
      </c>
      <c r="M127" s="40">
        <f>E127-травень!E126</f>
        <v>0</v>
      </c>
      <c r="N127" s="40">
        <f>F127-травень!F126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5012.5</v>
      </c>
      <c r="F128" s="33">
        <v>5295.56</v>
      </c>
      <c r="G128" s="49">
        <f aca="true" t="shared" si="43" ref="G128:G135">F128-E128</f>
        <v>283.0600000000004</v>
      </c>
      <c r="H128" s="40">
        <f>F128/E128*100</f>
        <v>105.64708229426434</v>
      </c>
      <c r="I128" s="60">
        <f aca="true" t="shared" si="44" ref="I128:I135">F128-D128</f>
        <v>-3404.4399999999996</v>
      </c>
      <c r="J128" s="60">
        <f>F128/D128*100</f>
        <v>60.86850574712644</v>
      </c>
      <c r="K128" s="60">
        <f>F128-6301.4</f>
        <v>-1005.8399999999992</v>
      </c>
      <c r="L128" s="138">
        <f>F128/6301.4</f>
        <v>0.840378328625385</v>
      </c>
      <c r="M128" s="40">
        <f>E128-травень!E127</f>
        <v>1</v>
      </c>
      <c r="N128" s="40">
        <f>F128-травень!F127</f>
        <v>2.7000000000007276</v>
      </c>
      <c r="O128" s="53">
        <f aca="true" t="shared" si="45" ref="O128:O135">N128-M128</f>
        <v>1.7000000000007276</v>
      </c>
      <c r="P128" s="60">
        <f>N128/M128*100</f>
        <v>270.00000000007276</v>
      </c>
      <c r="Q128" s="60">
        <f>N128-12.3</f>
        <v>-9.599999999999273</v>
      </c>
      <c r="R128" s="162">
        <f>N128/12.3</f>
        <v>0.21951219512201037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0.26</v>
      </c>
      <c r="G129" s="49">
        <f t="shared" si="43"/>
        <v>0.26</v>
      </c>
      <c r="H129" s="40"/>
      <c r="I129" s="60">
        <f t="shared" si="44"/>
        <v>0.26</v>
      </c>
      <c r="J129" s="60"/>
      <c r="K129" s="60">
        <f>F129-(-0.4)</f>
        <v>0.66</v>
      </c>
      <c r="L129" s="138">
        <f>F129/(-0.4)</f>
        <v>-0.65</v>
      </c>
      <c r="M129" s="40">
        <f>E129-травень!E128</f>
        <v>0</v>
      </c>
      <c r="N129" s="40">
        <f>F129-травень!F128</f>
        <v>0.22</v>
      </c>
      <c r="O129" s="53">
        <f t="shared" si="45"/>
        <v>0.22</v>
      </c>
      <c r="P129" s="60"/>
      <c r="Q129" s="60">
        <f>N129-0.1</f>
        <v>0.12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5036.86</v>
      </c>
      <c r="F130" s="38">
        <f>F128+F125+F129+F127</f>
        <v>5327.750000000001</v>
      </c>
      <c r="G130" s="62">
        <f t="shared" si="43"/>
        <v>290.89000000000124</v>
      </c>
      <c r="H130" s="72">
        <f>F130/E130*100</f>
        <v>105.77522504099778</v>
      </c>
      <c r="I130" s="61">
        <f t="shared" si="44"/>
        <v>-3422.95</v>
      </c>
      <c r="J130" s="61">
        <f>F130/D130*100</f>
        <v>60.883700732512835</v>
      </c>
      <c r="K130" s="61">
        <f>F130-6410.2</f>
        <v>-1082.449999999999</v>
      </c>
      <c r="L130" s="139">
        <f>G130/6410.2</f>
        <v>0.045379239337306365</v>
      </c>
      <c r="M130" s="62">
        <f>M125+M128+M129+M127</f>
        <v>4</v>
      </c>
      <c r="N130" s="62">
        <f>N125+N128+N129+N127</f>
        <v>6.380000000000726</v>
      </c>
      <c r="O130" s="61">
        <f t="shared" si="45"/>
        <v>2.3800000000007264</v>
      </c>
      <c r="P130" s="61">
        <f>N130/M130*100</f>
        <v>159.50000000001816</v>
      </c>
      <c r="Q130" s="61">
        <f>N130-14</f>
        <v>-7.619999999999274</v>
      </c>
      <c r="R130" s="137">
        <f>N130/14</f>
        <v>0.4557142857143376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15.65</v>
      </c>
      <c r="F131" s="33">
        <v>21.12</v>
      </c>
      <c r="G131" s="49">
        <f>F131-E131</f>
        <v>5.470000000000001</v>
      </c>
      <c r="H131" s="40">
        <f>F131/E131*100</f>
        <v>134.9520766773163</v>
      </c>
      <c r="I131" s="60">
        <f>F131-D131</f>
        <v>-8.879999999999999</v>
      </c>
      <c r="J131" s="60">
        <f>F131/D131*100</f>
        <v>70.4</v>
      </c>
      <c r="K131" s="60">
        <f>F131-16.8</f>
        <v>4.32</v>
      </c>
      <c r="L131" s="138">
        <f>F131/16.8</f>
        <v>1.2571428571428571</v>
      </c>
      <c r="M131" s="40">
        <f>E131-травень!E130</f>
        <v>7</v>
      </c>
      <c r="N131" s="40">
        <f>F131-травень!F130</f>
        <v>7.970000000000001</v>
      </c>
      <c r="O131" s="53">
        <f>N131-M131</f>
        <v>0.9700000000000006</v>
      </c>
      <c r="P131" s="60">
        <f>N131/M131*100</f>
        <v>113.85714285714286</v>
      </c>
      <c r="Q131" s="60">
        <f>N131-7.5</f>
        <v>0.47000000000000064</v>
      </c>
      <c r="R131" s="138">
        <f>N131/7.5</f>
        <v>1.0626666666666666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E132-травень!E131</f>
        <v>0</v>
      </c>
      <c r="N132" s="40">
        <f>F132-травень!F131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E133-травень!E132</f>
        <v>0</v>
      </c>
      <c r="N133" s="40">
        <f>F133-травень!F132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48558.259999999995</v>
      </c>
      <c r="F134" s="31">
        <f>F117+F131+F124+F130+F133+F132</f>
        <v>48815.38999999999</v>
      </c>
      <c r="G134" s="50">
        <f t="shared" si="43"/>
        <v>257.1299999999974</v>
      </c>
      <c r="H134" s="51">
        <f>F134/E134*100</f>
        <v>100.52952885873587</v>
      </c>
      <c r="I134" s="36">
        <f t="shared" si="44"/>
        <v>-71226.1</v>
      </c>
      <c r="J134" s="36">
        <f>F134/D134*100</f>
        <v>40.66543159369314</v>
      </c>
      <c r="K134" s="36">
        <f>F134-56736.6</f>
        <v>-7921.210000000006</v>
      </c>
      <c r="L134" s="136">
        <f>F134/56736.6</f>
        <v>0.860386240980249</v>
      </c>
      <c r="M134" s="31">
        <f>M117+M131+M124+M130+M133+M132</f>
        <v>4939.290000000001</v>
      </c>
      <c r="N134" s="31">
        <f>N117+N131+N124+N130+N133+N132</f>
        <v>3175.269999999999</v>
      </c>
      <c r="O134" s="36">
        <f t="shared" si="45"/>
        <v>-1764.0200000000018</v>
      </c>
      <c r="P134" s="36">
        <f>N134/M134*100</f>
        <v>64.2859601278726</v>
      </c>
      <c r="Q134" s="36">
        <f>N134-9388.2</f>
        <v>-6212.930000000002</v>
      </c>
      <c r="R134" s="136">
        <f>N134/9388.2</f>
        <v>0.33821925395709496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289268.49</v>
      </c>
      <c r="F135" s="31">
        <f>F107+F134</f>
        <v>281589.98</v>
      </c>
      <c r="G135" s="50">
        <f t="shared" si="43"/>
        <v>-7678.510000000009</v>
      </c>
      <c r="H135" s="51">
        <f>F135/E135*100</f>
        <v>97.34554219852981</v>
      </c>
      <c r="I135" s="36">
        <f t="shared" si="44"/>
        <v>-345331.11</v>
      </c>
      <c r="J135" s="36">
        <f>F135/D135*100</f>
        <v>44.9163354833062</v>
      </c>
      <c r="K135" s="36">
        <f>F135-293840.6</f>
        <v>-12250.619999999995</v>
      </c>
      <c r="L135" s="136">
        <f>F135/293840.6</f>
        <v>0.9583086203880608</v>
      </c>
      <c r="M135" s="22">
        <f>M107+M134</f>
        <v>48038.26</v>
      </c>
      <c r="N135" s="22">
        <f>N107+N134</f>
        <v>45784.66</v>
      </c>
      <c r="O135" s="36">
        <f t="shared" si="45"/>
        <v>-2253.5999999999985</v>
      </c>
      <c r="P135" s="36">
        <f>N135/M135*100</f>
        <v>95.30873932569581</v>
      </c>
      <c r="Q135" s="36">
        <f>N135-51803</f>
        <v>-6018.3399999999965</v>
      </c>
      <c r="R135" s="136">
        <f>N135/51803</f>
        <v>0.8838225585390808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198"/>
      <c r="H138" s="198"/>
      <c r="I138" s="198"/>
      <c r="J138" s="198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41817</v>
      </c>
      <c r="D139" s="39">
        <v>6214.2</v>
      </c>
      <c r="N139" s="193"/>
      <c r="O139" s="193"/>
    </row>
    <row r="140" spans="3:15" ht="15.75">
      <c r="C140" s="120">
        <v>41816</v>
      </c>
      <c r="D140" s="39">
        <v>4277.2</v>
      </c>
      <c r="F140" s="4" t="s">
        <v>166</v>
      </c>
      <c r="G140" s="189" t="s">
        <v>151</v>
      </c>
      <c r="H140" s="189"/>
      <c r="I140" s="115">
        <f>'[1]залишки  (2)'!$G$9/1000</f>
        <v>9020.59653</v>
      </c>
      <c r="J140" s="190" t="s">
        <v>161</v>
      </c>
      <c r="K140" s="190"/>
      <c r="L140" s="190"/>
      <c r="M140" s="190"/>
      <c r="N140" s="193"/>
      <c r="O140" s="193"/>
    </row>
    <row r="141" spans="3:15" ht="15.75">
      <c r="C141" s="120">
        <v>41815</v>
      </c>
      <c r="D141" s="39">
        <v>1877.7</v>
      </c>
      <c r="G141" s="191" t="s">
        <v>155</v>
      </c>
      <c r="H141" s="191"/>
      <c r="I141" s="112">
        <v>0</v>
      </c>
      <c r="J141" s="192" t="s">
        <v>162</v>
      </c>
      <c r="K141" s="192"/>
      <c r="L141" s="192"/>
      <c r="M141" s="192"/>
      <c r="N141" s="193"/>
      <c r="O141" s="193"/>
    </row>
    <row r="142" spans="7:13" ht="15.75" customHeight="1">
      <c r="G142" s="189" t="s">
        <v>148</v>
      </c>
      <c r="H142" s="189"/>
      <c r="I142" s="112">
        <f>'[1]залишки  (2)'!$G$8/1000</f>
        <v>0</v>
      </c>
      <c r="J142" s="190" t="s">
        <v>163</v>
      </c>
      <c r="K142" s="190"/>
      <c r="L142" s="190"/>
      <c r="M142" s="190"/>
    </row>
    <row r="143" spans="2:13" ht="18.75" customHeight="1">
      <c r="B143" s="187" t="s">
        <v>160</v>
      </c>
      <c r="C143" s="188"/>
      <c r="D143" s="117">
        <v>117976.29</v>
      </c>
      <c r="E143" s="80"/>
      <c r="F143" s="100" t="s">
        <v>147</v>
      </c>
      <c r="G143" s="189" t="s">
        <v>149</v>
      </c>
      <c r="H143" s="189"/>
      <c r="I143" s="116">
        <v>104151.07</v>
      </c>
      <c r="J143" s="190" t="s">
        <v>164</v>
      </c>
      <c r="K143" s="190"/>
      <c r="L143" s="190"/>
      <c r="M143" s="190"/>
    </row>
    <row r="144" spans="7:12" ht="9.75" customHeight="1">
      <c r="G144" s="183"/>
      <c r="H144" s="183"/>
      <c r="I144" s="98"/>
      <c r="J144" s="99"/>
      <c r="K144" s="99"/>
      <c r="L144" s="99"/>
    </row>
    <row r="145" spans="2:12" ht="22.5" customHeight="1">
      <c r="B145" s="184" t="s">
        <v>169</v>
      </c>
      <c r="C145" s="185"/>
      <c r="D145" s="119">
        <v>41386</v>
      </c>
      <c r="E145" s="77" t="s">
        <v>104</v>
      </c>
      <c r="G145" s="183"/>
      <c r="H145" s="183"/>
      <c r="I145" s="98"/>
      <c r="J145" s="99"/>
      <c r="K145" s="99"/>
      <c r="L145" s="99"/>
    </row>
    <row r="146" spans="4:15" ht="15.75">
      <c r="D146" s="114"/>
      <c r="N146" s="183"/>
      <c r="O146" s="183"/>
    </row>
    <row r="147" spans="4:15" ht="15.75">
      <c r="D147" s="113"/>
      <c r="I147" s="39"/>
      <c r="N147" s="186"/>
      <c r="O147" s="186"/>
    </row>
    <row r="148" spans="14:15" ht="15.75">
      <c r="N148" s="183"/>
      <c r="O148" s="183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22" right="0.18" top="0.31" bottom="0.38" header="0.26" footer="0.29"/>
  <pageSetup fitToHeight="1" fitToWidth="1" horizontalDpi="600" verticalDpi="600" orientation="portrait" paperSize="9" scale="4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F9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E103" sqref="E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09" t="s">
        <v>235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126"/>
      <c r="R1" s="127"/>
    </row>
    <row r="2" spans="2:18" s="1" customFormat="1" ht="15.75" customHeight="1">
      <c r="B2" s="210"/>
      <c r="C2" s="210"/>
      <c r="D2" s="21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211"/>
      <c r="B3" s="176"/>
      <c r="C3" s="177" t="s">
        <v>0</v>
      </c>
      <c r="D3" s="178" t="s">
        <v>224</v>
      </c>
      <c r="E3" s="178"/>
      <c r="F3" s="179" t="s">
        <v>107</v>
      </c>
      <c r="G3" s="180"/>
      <c r="H3" s="180"/>
      <c r="I3" s="180"/>
      <c r="J3" s="180"/>
      <c r="K3" s="180"/>
      <c r="L3" s="212"/>
      <c r="M3" s="213" t="s">
        <v>225</v>
      </c>
      <c r="N3" s="215" t="s">
        <v>233</v>
      </c>
      <c r="O3" s="215"/>
      <c r="P3" s="215"/>
      <c r="Q3" s="215"/>
      <c r="R3" s="215"/>
    </row>
    <row r="4" spans="1:18" ht="22.5" customHeight="1">
      <c r="A4" s="211"/>
      <c r="B4" s="176"/>
      <c r="C4" s="177"/>
      <c r="D4" s="178"/>
      <c r="E4" s="178"/>
      <c r="F4" s="216" t="s">
        <v>116</v>
      </c>
      <c r="G4" s="203" t="s">
        <v>229</v>
      </c>
      <c r="H4" s="205" t="s">
        <v>230</v>
      </c>
      <c r="I4" s="201" t="s">
        <v>188</v>
      </c>
      <c r="J4" s="207" t="s">
        <v>189</v>
      </c>
      <c r="K4" s="194" t="s">
        <v>231</v>
      </c>
      <c r="L4" s="195"/>
      <c r="M4" s="214"/>
      <c r="N4" s="199" t="s">
        <v>236</v>
      </c>
      <c r="O4" s="201" t="s">
        <v>136</v>
      </c>
      <c r="P4" s="201" t="s">
        <v>135</v>
      </c>
      <c r="Q4" s="194" t="s">
        <v>234</v>
      </c>
      <c r="R4" s="195"/>
    </row>
    <row r="5" spans="1:18" ht="82.5" customHeight="1">
      <c r="A5" s="175"/>
      <c r="B5" s="176"/>
      <c r="C5" s="177"/>
      <c r="D5" s="150" t="s">
        <v>209</v>
      </c>
      <c r="E5" s="158" t="s">
        <v>228</v>
      </c>
      <c r="F5" s="217"/>
      <c r="G5" s="204"/>
      <c r="H5" s="206"/>
      <c r="I5" s="202"/>
      <c r="J5" s="208"/>
      <c r="K5" s="196"/>
      <c r="L5" s="197"/>
      <c r="M5" s="151" t="s">
        <v>232</v>
      </c>
      <c r="N5" s="200"/>
      <c r="O5" s="202"/>
      <c r="P5" s="202"/>
      <c r="Q5" s="196"/>
      <c r="R5" s="197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191671.06</v>
      </c>
      <c r="F8" s="22">
        <f>F10+F19+F33+F56+F68+F30</f>
        <v>184805.2</v>
      </c>
      <c r="G8" s="22">
        <f aca="true" t="shared" si="0" ref="G8:G30">F8-E8</f>
        <v>-6865.859999999986</v>
      </c>
      <c r="H8" s="51">
        <f>F8/E8*100</f>
        <v>96.41789428200586</v>
      </c>
      <c r="I8" s="36">
        <f aca="true" t="shared" si="1" ref="I8:I17">F8-D8</f>
        <v>-303671.1</v>
      </c>
      <c r="J8" s="36">
        <f aca="true" t="shared" si="2" ref="J8:J14">F8/D8*100</f>
        <v>37.83299210217569</v>
      </c>
      <c r="K8" s="36">
        <f>F8-187134.8</f>
        <v>-2329.5999999999767</v>
      </c>
      <c r="L8" s="136">
        <f>F8/187134.8</f>
        <v>0.9875512197624388</v>
      </c>
      <c r="M8" s="22">
        <f>M10+M19+M33+M56+M68+M30</f>
        <v>37449.96999999999</v>
      </c>
      <c r="N8" s="22">
        <f>N10+N19+N33+N56+N68+N30</f>
        <v>39043.44</v>
      </c>
      <c r="O8" s="36">
        <f aca="true" t="shared" si="3" ref="O8:O71">N8-M8</f>
        <v>1593.4700000000157</v>
      </c>
      <c r="P8" s="36">
        <f>F8/M8*100</f>
        <v>493.4722244103268</v>
      </c>
      <c r="Q8" s="36">
        <f>N8-36022.2</f>
        <v>3021.2400000000052</v>
      </c>
      <c r="R8" s="134">
        <f>N8/36022.2</f>
        <v>1.0838716125056216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148760.15</v>
      </c>
      <c r="G9" s="22">
        <f t="shared" si="0"/>
        <v>148760.15</v>
      </c>
      <c r="H9" s="20"/>
      <c r="I9" s="56">
        <f t="shared" si="1"/>
        <v>-238253.05000000002</v>
      </c>
      <c r="J9" s="56">
        <f t="shared" si="2"/>
        <v>38.43800418176951</v>
      </c>
      <c r="K9" s="56"/>
      <c r="L9" s="135"/>
      <c r="M9" s="20">
        <f>M10+M17</f>
        <v>30408.59999999999</v>
      </c>
      <c r="N9" s="20">
        <f>N10+N17</f>
        <v>31640</v>
      </c>
      <c r="O9" s="36">
        <f t="shared" si="3"/>
        <v>1231.4000000000087</v>
      </c>
      <c r="P9" s="56">
        <f>F9/M9*100</f>
        <v>489.20420538926504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156111.8</v>
      </c>
      <c r="F10" s="40">
        <v>148760.15</v>
      </c>
      <c r="G10" s="49">
        <f t="shared" si="0"/>
        <v>-7351.649999999994</v>
      </c>
      <c r="H10" s="40">
        <f aca="true" t="shared" si="4" ref="H10:H17">F10/E10*100</f>
        <v>95.29077878802244</v>
      </c>
      <c r="I10" s="56">
        <f t="shared" si="1"/>
        <v>-238253.05000000002</v>
      </c>
      <c r="J10" s="56">
        <f t="shared" si="2"/>
        <v>38.43800418176951</v>
      </c>
      <c r="K10" s="141">
        <f>F10-145839</f>
        <v>2921.149999999994</v>
      </c>
      <c r="L10" s="142">
        <f>F10/145839</f>
        <v>1.0200299645499489</v>
      </c>
      <c r="M10" s="40">
        <f>E10-квітень!E10</f>
        <v>30408.59999999999</v>
      </c>
      <c r="N10" s="40">
        <f>F10-квітень!F10</f>
        <v>31640</v>
      </c>
      <c r="O10" s="53">
        <f t="shared" si="3"/>
        <v>1231.4000000000087</v>
      </c>
      <c r="P10" s="56">
        <f aca="true" t="shared" si="5" ref="P10:P17">N10/M10*100</f>
        <v>104.04951230901787</v>
      </c>
      <c r="Q10" s="141">
        <f>N10-28567.7</f>
        <v>3072.2999999999993</v>
      </c>
      <c r="R10" s="142">
        <f>N10/28567.7</f>
        <v>1.1075445345617603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E11-квітень!E11</f>
        <v>0</v>
      </c>
      <c r="N11" s="40">
        <f>F11-квітень!F11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E12-квітень!E12</f>
        <v>0</v>
      </c>
      <c r="N12" s="40">
        <f>F12-квітень!F12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E13-квітень!E13</f>
        <v>0</v>
      </c>
      <c r="N13" s="40">
        <f>F13-квітень!F13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E14-квітень!E14</f>
        <v>0</v>
      </c>
      <c r="N14" s="40">
        <f>F14-квітень!F14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E15-квітень!E15</f>
        <v>0</v>
      </c>
      <c r="N15" s="40">
        <f>F15-квітень!F15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E16-квітень!E16</f>
        <v>0</v>
      </c>
      <c r="N16" s="40">
        <f>F16-квітень!F16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E17-квітень!E17</f>
        <v>0</v>
      </c>
      <c r="N17" s="40">
        <f>F17-квітень!F17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E18-квітень!E18</f>
        <v>0</v>
      </c>
      <c r="N18" s="40">
        <f>F18-квітень!F18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1011.6</v>
      </c>
      <c r="F19" s="40">
        <v>645.38</v>
      </c>
      <c r="G19" s="49">
        <f t="shared" si="0"/>
        <v>-366.22</v>
      </c>
      <c r="H19" s="40">
        <f aca="true" t="shared" si="6" ref="H19:H29">F19/E19*100</f>
        <v>63.79794385132463</v>
      </c>
      <c r="I19" s="56">
        <f aca="true" t="shared" si="7" ref="I19:I29">F19-D19</f>
        <v>-354.62</v>
      </c>
      <c r="J19" s="56">
        <f aca="true" t="shared" si="8" ref="J19:J29">F19/D19*100</f>
        <v>64.538</v>
      </c>
      <c r="K19" s="56">
        <f>F19-5155.1</f>
        <v>-4509.72</v>
      </c>
      <c r="L19" s="135">
        <f>F19/5155.1</f>
        <v>0.12519252778801573</v>
      </c>
      <c r="M19" s="40">
        <f>E19-квітень!E19</f>
        <v>12</v>
      </c>
      <c r="N19" s="40">
        <f>F19-квітень!F19</f>
        <v>92.46000000000004</v>
      </c>
      <c r="O19" s="53">
        <f t="shared" si="3"/>
        <v>80.46000000000004</v>
      </c>
      <c r="P19" s="56">
        <f aca="true" t="shared" si="9" ref="P19:P29">N19/M19*100</f>
        <v>770.5000000000002</v>
      </c>
      <c r="Q19" s="56">
        <f>N19-419.2</f>
        <v>-326.73999999999995</v>
      </c>
      <c r="R19" s="135">
        <f>N19/419.2</f>
        <v>0.22056297709923672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E20-квітень!E20</f>
        <v>0</v>
      </c>
      <c r="N20" s="40">
        <f>F20-квітень!F20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E21-квітень!E21</f>
        <v>0</v>
      </c>
      <c r="N21" s="40">
        <f>F21-квітень!F21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E22-квітень!E22</f>
        <v>0</v>
      </c>
      <c r="N22" s="40">
        <f>F22-квітень!F22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E23-квітень!E23</f>
        <v>0</v>
      </c>
      <c r="N23" s="40">
        <f>F23-квітень!F23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E24-квітень!E24</f>
        <v>0</v>
      </c>
      <c r="N24" s="40">
        <f>F24-квітень!F24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E25-квітень!E25</f>
        <v>0</v>
      </c>
      <c r="N25" s="40">
        <f>F25-квітень!F25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E26-квітень!E26</f>
        <v>0</v>
      </c>
      <c r="N26" s="40">
        <f>F26-квітень!F26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E27-квітень!E27</f>
        <v>0</v>
      </c>
      <c r="N27" s="40">
        <f>F27-квітень!F27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E28-квітень!E28</f>
        <v>0</v>
      </c>
      <c r="N28" s="40">
        <f>F28-квітень!F28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751.6</v>
      </c>
      <c r="F29" s="146">
        <v>805.66</v>
      </c>
      <c r="G29" s="49">
        <f t="shared" si="0"/>
        <v>54.059999999999945</v>
      </c>
      <c r="H29" s="40">
        <f t="shared" si="6"/>
        <v>107.19265566790845</v>
      </c>
      <c r="I29" s="56">
        <f t="shared" si="7"/>
        <v>-124.34000000000003</v>
      </c>
      <c r="J29" s="56">
        <f t="shared" si="8"/>
        <v>86.63010752688172</v>
      </c>
      <c r="K29" s="148">
        <f>F29-1598.01</f>
        <v>-792.35</v>
      </c>
      <c r="L29" s="149">
        <f>F29/1598.01</f>
        <v>0.5041645546648644</v>
      </c>
      <c r="M29" s="40">
        <f>E29-квітень!E29</f>
        <v>12</v>
      </c>
      <c r="N29" s="40">
        <f>F29-квітень!F29</f>
        <v>22.480000000000018</v>
      </c>
      <c r="O29" s="148">
        <f t="shared" si="3"/>
        <v>10.480000000000018</v>
      </c>
      <c r="P29" s="145">
        <f t="shared" si="9"/>
        <v>187.33333333333348</v>
      </c>
      <c r="Q29" s="148">
        <f>N29-428.5</f>
        <v>-406.02</v>
      </c>
      <c r="R29" s="149">
        <f>N29/428.5</f>
        <v>0.05246207701283551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E30-квітень!E30</f>
        <v>8.5</v>
      </c>
      <c r="N30" s="40">
        <f>F30-квітень!F30</f>
        <v>0</v>
      </c>
      <c r="O30" s="53">
        <f t="shared" si="3"/>
        <v>-8.5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E31-квітень!E31</f>
        <v>0</v>
      </c>
      <c r="N31" s="40">
        <f>F31-квітень!F31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E32-квітень!E32</f>
        <v>0</v>
      </c>
      <c r="N32" s="40">
        <f>F32-квітень!F32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31740.46</v>
      </c>
      <c r="F33" s="40">
        <v>32704.51</v>
      </c>
      <c r="G33" s="49">
        <f aca="true" t="shared" si="14" ref="G33:G72">F33-E33</f>
        <v>964.0499999999993</v>
      </c>
      <c r="H33" s="40">
        <f aca="true" t="shared" si="15" ref="H33:H67">F33/E33*100</f>
        <v>103.03729057486879</v>
      </c>
      <c r="I33" s="56">
        <f>F33-D33</f>
        <v>-60861.490000000005</v>
      </c>
      <c r="J33" s="56">
        <f aca="true" t="shared" si="16" ref="J33:J72">F33/D33*100</f>
        <v>34.95341256439305</v>
      </c>
      <c r="K33" s="141">
        <f>F33-33465.8</f>
        <v>-761.2900000000045</v>
      </c>
      <c r="L33" s="142">
        <f>F33/33465.8</f>
        <v>0.9772517017372958</v>
      </c>
      <c r="M33" s="40">
        <f>E33-квітень!E33</f>
        <v>6469.869999999999</v>
      </c>
      <c r="N33" s="40">
        <f>F33-квітень!F33</f>
        <v>6787.09</v>
      </c>
      <c r="O33" s="53">
        <f t="shared" si="3"/>
        <v>317.22000000000116</v>
      </c>
      <c r="P33" s="56">
        <f aca="true" t="shared" si="17" ref="P33:P67">N33/M33*100</f>
        <v>104.90303514599213</v>
      </c>
      <c r="Q33" s="141">
        <f>N33-6537.6</f>
        <v>249.48999999999978</v>
      </c>
      <c r="R33" s="142">
        <f>N33/6537.2</f>
        <v>1.0382258459279203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E34-квітень!E34</f>
        <v>0</v>
      </c>
      <c r="N34" s="40">
        <f>F34-квітень!F34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E35-квітень!E35</f>
        <v>0</v>
      </c>
      <c r="N35" s="40">
        <f>F35-квітень!F35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E36-квітень!E36</f>
        <v>0</v>
      </c>
      <c r="N36" s="40">
        <f>F36-квітень!F36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E37-квітень!E37</f>
        <v>0</v>
      </c>
      <c r="N37" s="40">
        <f>F37-квітень!F37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E38-квітень!E38</f>
        <v>0</v>
      </c>
      <c r="N38" s="40">
        <f>F38-квітень!F38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E39-квітень!E39</f>
        <v>0</v>
      </c>
      <c r="N39" s="40">
        <f>F39-квітень!F39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E40-квітень!E40</f>
        <v>0</v>
      </c>
      <c r="N40" s="40">
        <f>F40-квітень!F40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E41-квітень!E41</f>
        <v>0</v>
      </c>
      <c r="N41" s="40">
        <f>F41-квітень!F41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E42-квітень!E42</f>
        <v>0</v>
      </c>
      <c r="N42" s="40">
        <f>F42-квітень!F42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E43-квітень!E43</f>
        <v>0</v>
      </c>
      <c r="N43" s="40">
        <f>F43-квітень!F43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E44-квітень!E44</f>
        <v>0</v>
      </c>
      <c r="N44" s="40">
        <f>F44-квітень!F44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E45-квітень!E45</f>
        <v>0</v>
      </c>
      <c r="N45" s="40">
        <f>F45-квітень!F45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E46-квітень!E46</f>
        <v>0</v>
      </c>
      <c r="N46" s="40">
        <f>F46-квітень!F46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E47-квітень!E47</f>
        <v>0</v>
      </c>
      <c r="N47" s="40">
        <f>F47-квітень!F47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E48-квітень!E48</f>
        <v>0</v>
      </c>
      <c r="N48" s="40">
        <f>F48-квітень!F48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E49-квітень!E49</f>
        <v>0</v>
      </c>
      <c r="N49" s="40">
        <f>F49-квітень!F49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E50-квітень!E50</f>
        <v>0</v>
      </c>
      <c r="N50" s="40">
        <f>F50-квітень!F50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E51-квітень!E51</f>
        <v>0</v>
      </c>
      <c r="N51" s="40">
        <f>F51-квітень!F51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E52-квітень!E52</f>
        <v>0</v>
      </c>
      <c r="N52" s="40">
        <f>F52-квітень!F52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E53-квітень!E53</f>
        <v>0</v>
      </c>
      <c r="N53" s="40">
        <f>F53-квітень!F53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E54-квітень!E54</f>
        <v>0</v>
      </c>
      <c r="N54" s="40">
        <f>F54-квітень!F54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23550.16</v>
      </c>
      <c r="F55" s="146">
        <v>24538.18</v>
      </c>
      <c r="G55" s="144">
        <f t="shared" si="14"/>
        <v>988.0200000000004</v>
      </c>
      <c r="H55" s="146">
        <f t="shared" si="15"/>
        <v>104.19538550905811</v>
      </c>
      <c r="I55" s="145">
        <f t="shared" si="18"/>
        <v>-45727.82</v>
      </c>
      <c r="J55" s="145">
        <f t="shared" si="16"/>
        <v>34.921839865653375</v>
      </c>
      <c r="K55" s="148">
        <f>F55-24232.1</f>
        <v>306.08000000000175</v>
      </c>
      <c r="L55" s="149">
        <f>F55/24232.1</f>
        <v>1.012631179303486</v>
      </c>
      <c r="M55" s="40">
        <f>E55-квітень!E55</f>
        <v>4739.869999999999</v>
      </c>
      <c r="N55" s="40">
        <f>F55-квітень!F55</f>
        <v>5142.779999999999</v>
      </c>
      <c r="O55" s="148">
        <f t="shared" si="3"/>
        <v>402.90999999999985</v>
      </c>
      <c r="P55" s="148">
        <f t="shared" si="17"/>
        <v>108.5004441050071</v>
      </c>
      <c r="Q55" s="160">
        <f>N55-4803.25</f>
        <v>339.52999999999884</v>
      </c>
      <c r="R55" s="161">
        <f>N55/4803.25</f>
        <v>1.070687555301098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2789.1</v>
      </c>
      <c r="F56" s="40">
        <f>2691.09+0.23</f>
        <v>2691.32</v>
      </c>
      <c r="G56" s="49">
        <f t="shared" si="14"/>
        <v>-97.77999999999975</v>
      </c>
      <c r="H56" s="40">
        <f t="shared" si="15"/>
        <v>96.49420960166363</v>
      </c>
      <c r="I56" s="56">
        <f t="shared" si="18"/>
        <v>-4168.68</v>
      </c>
      <c r="J56" s="56">
        <f t="shared" si="16"/>
        <v>39.23206997084549</v>
      </c>
      <c r="K56" s="56">
        <f>F56-2649.7</f>
        <v>41.620000000000346</v>
      </c>
      <c r="L56" s="135">
        <f>F56/2649.7</f>
        <v>1.0157074385779523</v>
      </c>
      <c r="M56" s="40">
        <f>E56-квітень!E56</f>
        <v>551</v>
      </c>
      <c r="N56" s="40">
        <f>F56-квітень!F56</f>
        <v>523.8400000000001</v>
      </c>
      <c r="O56" s="53">
        <f t="shared" si="3"/>
        <v>-27.159999999999854</v>
      </c>
      <c r="P56" s="56">
        <f t="shared" si="17"/>
        <v>95.07078039927407</v>
      </c>
      <c r="Q56" s="56">
        <f>N56-497.8</f>
        <v>26.040000000000134</v>
      </c>
      <c r="R56" s="135">
        <f>N56/497.8</f>
        <v>1.0523101647247894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E57-квітень!E57</f>
        <v>0</v>
      </c>
      <c r="N57" s="40">
        <f>F57-квітень!F57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E58-квітень!E58</f>
        <v>0</v>
      </c>
      <c r="N58" s="40">
        <f>F58-квітень!F58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E59-квітень!E59</f>
        <v>0</v>
      </c>
      <c r="N59" s="40">
        <f>F59-квітень!F59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E60-квітень!E60</f>
        <v>0</v>
      </c>
      <c r="N60" s="40">
        <f>F60-квітень!F60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E61-квітень!E61</f>
        <v>0</v>
      </c>
      <c r="N61" s="40">
        <f>F61-квітень!F61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E62-квітень!E62</f>
        <v>0</v>
      </c>
      <c r="N62" s="40">
        <f>F62-квітень!F62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E63-квітень!E63</f>
        <v>0</v>
      </c>
      <c r="N63" s="40">
        <f>F63-квітень!F63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E64-квітень!E64</f>
        <v>0</v>
      </c>
      <c r="N64" s="40">
        <f>F64-квітень!F64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E65-квітень!E65</f>
        <v>0</v>
      </c>
      <c r="N65" s="40">
        <f>F65-квітень!F65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E66-квітень!E66</f>
        <v>0</v>
      </c>
      <c r="N66" s="40">
        <f>F66-квітень!F66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E67-квітень!E67</f>
        <v>0</v>
      </c>
      <c r="N67" s="40">
        <f>F67-квітень!F67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0.93</v>
      </c>
      <c r="G68" s="49">
        <f t="shared" si="14"/>
        <v>0.8300000000000001</v>
      </c>
      <c r="H68" s="40"/>
      <c r="I68" s="56">
        <f t="shared" si="18"/>
        <v>0.8300000000000001</v>
      </c>
      <c r="J68" s="56">
        <f t="shared" si="16"/>
        <v>930.0000000000001</v>
      </c>
      <c r="K68" s="56">
        <f>F68-0.3</f>
        <v>0.6300000000000001</v>
      </c>
      <c r="L68" s="135"/>
      <c r="M68" s="40">
        <f>E68-квітень!E68</f>
        <v>0</v>
      </c>
      <c r="N68" s="40">
        <f>F68-квітень!F68</f>
        <v>0.050000000000000044</v>
      </c>
      <c r="O68" s="53">
        <f t="shared" si="3"/>
        <v>0.050000000000000044</v>
      </c>
      <c r="P68" s="56"/>
      <c r="Q68" s="56">
        <f>N68-0</f>
        <v>0.050000000000000044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5928</v>
      </c>
      <c r="F74" s="22">
        <f>F77+F86+F88+F89+F94+F95+F96+F97+F99+F103+F87</f>
        <v>5348.29</v>
      </c>
      <c r="G74" s="50">
        <f aca="true" t="shared" si="24" ref="G74:G92">F74-E74</f>
        <v>-579.71</v>
      </c>
      <c r="H74" s="51">
        <f aca="true" t="shared" si="25" ref="H74:H87">F74/E74*100</f>
        <v>90.22081646423752</v>
      </c>
      <c r="I74" s="36">
        <f aca="true" t="shared" si="26" ref="I74:I92">F74-D74</f>
        <v>-13010.009999999998</v>
      </c>
      <c r="J74" s="36">
        <f aca="true" t="shared" si="27" ref="J74:J92">F74/D74*100</f>
        <v>29.13281730879221</v>
      </c>
      <c r="K74" s="36">
        <f>F74-5538.5</f>
        <v>-190.21000000000004</v>
      </c>
      <c r="L74" s="136">
        <f>F74/7538.5</f>
        <v>0.7094634211049944</v>
      </c>
      <c r="M74" s="22">
        <f>M77+M86+M88+M89+M94+M95+M96+M97+M99+M87+M103</f>
        <v>1480.5</v>
      </c>
      <c r="N74" s="22">
        <f>N77+N86+N88+N89+N94+N95+N96+N97+N99+N32+N103+N87</f>
        <v>1161.9699999999998</v>
      </c>
      <c r="O74" s="55">
        <f aca="true" t="shared" si="28" ref="O74:O92">N74-M74</f>
        <v>-318.5300000000002</v>
      </c>
      <c r="P74" s="36">
        <f>N74/M74*100</f>
        <v>78.48497129348192</v>
      </c>
      <c r="Q74" s="36">
        <f>N74-2163.7</f>
        <v>-1001.73</v>
      </c>
      <c r="R74" s="136">
        <f>N74/2163.7</f>
        <v>0.5370291630078107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E77-квітень!E77</f>
        <v>50</v>
      </c>
      <c r="N77" s="40">
        <f>F77-квітень!F77</f>
        <v>83.32</v>
      </c>
      <c r="O77" s="53">
        <f t="shared" si="28"/>
        <v>33.31999999999999</v>
      </c>
      <c r="P77" s="56">
        <f aca="true" t="shared" si="29" ref="P77:P87">N77/M77*100</f>
        <v>166.64</v>
      </c>
      <c r="Q77" s="56">
        <f>N77-291.7</f>
        <v>-208.38</v>
      </c>
      <c r="R77" s="135">
        <f>N77/291.7</f>
        <v>0.2856359273225917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E78-квітень!E78</f>
        <v>0</v>
      </c>
      <c r="N78" s="40">
        <f>F78-квітень!F78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E79-квітень!E79</f>
        <v>0</v>
      </c>
      <c r="N79" s="40">
        <f>F79-квітень!F79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E80-квітень!E80</f>
        <v>0</v>
      </c>
      <c r="N80" s="40">
        <f>F80-квітень!F80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E81-квітень!E81</f>
        <v>0</v>
      </c>
      <c r="N81" s="40">
        <f>F81-квітень!F81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E82-квітень!E82</f>
        <v>0</v>
      </c>
      <c r="N82" s="40">
        <f>F82-квітень!F82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E83-квітень!E83</f>
        <v>0</v>
      </c>
      <c r="N83" s="40">
        <f>F83-квітень!F83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E84-квітень!E84</f>
        <v>0</v>
      </c>
      <c r="N84" s="40">
        <f>F84-квітень!F84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E85-квітень!E85</f>
        <v>0</v>
      </c>
      <c r="N85" s="40">
        <f>F85-квітень!F85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680</v>
      </c>
      <c r="F86" s="57">
        <v>0</v>
      </c>
      <c r="G86" s="49">
        <f t="shared" si="24"/>
        <v>-680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F86-692.6</f>
        <v>-692.6</v>
      </c>
      <c r="L86" s="135">
        <f>F86/692.6</f>
        <v>0</v>
      </c>
      <c r="M86" s="40">
        <f>E86-квітень!E86</f>
        <v>430</v>
      </c>
      <c r="N86" s="40">
        <f>F86-квітень!F86</f>
        <v>0</v>
      </c>
      <c r="O86" s="53">
        <f t="shared" si="28"/>
        <v>-430</v>
      </c>
      <c r="P86" s="56">
        <f t="shared" si="29"/>
        <v>0</v>
      </c>
      <c r="Q86" s="56">
        <f>N86-435.9</f>
        <v>-435.9</v>
      </c>
      <c r="R86" s="135">
        <f>N86/435.9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E87-квітень!E87</f>
        <v>0</v>
      </c>
      <c r="N87" s="40">
        <f>F87-квітень!F87</f>
        <v>2.420000000000016</v>
      </c>
      <c r="O87" s="53">
        <f t="shared" si="28"/>
        <v>2.420000000000016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1.5</v>
      </c>
      <c r="F88" s="57">
        <v>5.08</v>
      </c>
      <c r="G88" s="49">
        <f t="shared" si="24"/>
        <v>3.58</v>
      </c>
      <c r="H88" s="40">
        <f>F88/E88*100</f>
        <v>338.6666666666667</v>
      </c>
      <c r="I88" s="56">
        <f t="shared" si="26"/>
        <v>-0.019999999999999574</v>
      </c>
      <c r="J88" s="56">
        <f t="shared" si="27"/>
        <v>99.60784313725492</v>
      </c>
      <c r="K88" s="56">
        <f>F88-0.1</f>
        <v>4.98</v>
      </c>
      <c r="L88" s="135"/>
      <c r="M88" s="40">
        <f>E88-квітень!E88</f>
        <v>0.5</v>
      </c>
      <c r="N88" s="40">
        <f>F88-квітень!F88</f>
        <v>1</v>
      </c>
      <c r="O88" s="53">
        <f t="shared" si="28"/>
        <v>0.5</v>
      </c>
      <c r="P88" s="56">
        <f>N88/M88*100</f>
        <v>200</v>
      </c>
      <c r="Q88" s="56">
        <f>N88-0</f>
        <v>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69</v>
      </c>
      <c r="F89" s="57">
        <v>47.09</v>
      </c>
      <c r="G89" s="49">
        <f t="shared" si="24"/>
        <v>-21.909999999999997</v>
      </c>
      <c r="H89" s="40">
        <f>F89/E89*100</f>
        <v>68.24637681159422</v>
      </c>
      <c r="I89" s="56">
        <f t="shared" si="26"/>
        <v>-127.91</v>
      </c>
      <c r="J89" s="56">
        <f t="shared" si="27"/>
        <v>26.90857142857143</v>
      </c>
      <c r="K89" s="56">
        <f>F89-73.4</f>
        <v>-26.310000000000002</v>
      </c>
      <c r="L89" s="135">
        <f>F89/73.4</f>
        <v>0.6415531335149863</v>
      </c>
      <c r="M89" s="40">
        <f>E89-квітень!E89</f>
        <v>15</v>
      </c>
      <c r="N89" s="40">
        <f>F89-квітень!F89</f>
        <v>12.650000000000006</v>
      </c>
      <c r="O89" s="53">
        <f t="shared" si="28"/>
        <v>-2.3499999999999943</v>
      </c>
      <c r="P89" s="56">
        <f>N89/M89*100</f>
        <v>84.33333333333337</v>
      </c>
      <c r="Q89" s="56">
        <f>N89-7.1</f>
        <v>5.550000000000006</v>
      </c>
      <c r="R89" s="135">
        <f>N89/7.1</f>
        <v>1.7816901408450714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E90-квітень!E90</f>
        <v>0</v>
      </c>
      <c r="N90" s="40">
        <f>F90-квітень!F90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E91-квітень!E91</f>
        <v>0</v>
      </c>
      <c r="N91" s="40">
        <f>F91-квітень!F91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E92-квітень!E92</f>
        <v>0</v>
      </c>
      <c r="N92" s="40">
        <f>F92-квітень!F92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E93-квітень!E93</f>
        <v>0</v>
      </c>
      <c r="N93" s="40">
        <f>F93-квітень!F93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E94-квітень!E94</f>
        <v>0</v>
      </c>
      <c r="N94" s="40">
        <f>F94-квітень!F94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2956.5</v>
      </c>
      <c r="F95" s="57">
        <v>2962.16</v>
      </c>
      <c r="G95" s="49">
        <f t="shared" si="31"/>
        <v>5.6599999999998545</v>
      </c>
      <c r="H95" s="40">
        <f>F95/E95*100</f>
        <v>100.19144258413664</v>
      </c>
      <c r="I95" s="56">
        <f t="shared" si="32"/>
        <v>-4037.84</v>
      </c>
      <c r="J95" s="56">
        <f>F95/D95*100</f>
        <v>42.31657142857143</v>
      </c>
      <c r="K95" s="56">
        <f>F95-2948.4</f>
        <v>13.759999999999764</v>
      </c>
      <c r="L95" s="135">
        <f>F95/2948.4</f>
        <v>1.0046669380002713</v>
      </c>
      <c r="M95" s="40">
        <f>E95-квітень!E95</f>
        <v>575</v>
      </c>
      <c r="N95" s="40">
        <f>F95-квітень!F95</f>
        <v>579.6299999999997</v>
      </c>
      <c r="O95" s="53">
        <f t="shared" si="33"/>
        <v>4.629999999999654</v>
      </c>
      <c r="P95" s="56">
        <f>N95/M95*100</f>
        <v>100.80521739130428</v>
      </c>
      <c r="Q95" s="56">
        <f>N95-679.2</f>
        <v>-99.57000000000039</v>
      </c>
      <c r="R95" s="135">
        <f>N95/679.2</f>
        <v>0.8534010600706708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374.5</v>
      </c>
      <c r="F96" s="57">
        <v>350.98</v>
      </c>
      <c r="G96" s="49">
        <f t="shared" si="31"/>
        <v>-23.519999999999982</v>
      </c>
      <c r="H96" s="40">
        <f>F96/E96*100</f>
        <v>93.7196261682243</v>
      </c>
      <c r="I96" s="56">
        <f t="shared" si="32"/>
        <v>-849.02</v>
      </c>
      <c r="J96" s="56">
        <f>F96/D96*100</f>
        <v>29.24833333333334</v>
      </c>
      <c r="K96" s="56">
        <f>F96-374</f>
        <v>-23.019999999999982</v>
      </c>
      <c r="L96" s="135">
        <f>F96/374</f>
        <v>0.9384491978609626</v>
      </c>
      <c r="M96" s="40">
        <f>E96-квітень!E96</f>
        <v>80</v>
      </c>
      <c r="N96" s="40">
        <f>F96-квітень!F96</f>
        <v>71.39000000000004</v>
      </c>
      <c r="O96" s="53">
        <f t="shared" si="33"/>
        <v>-8.609999999999957</v>
      </c>
      <c r="P96" s="56">
        <f>N96/M96*100</f>
        <v>89.23750000000005</v>
      </c>
      <c r="Q96" s="56">
        <f>N96-68.5</f>
        <v>2.890000000000043</v>
      </c>
      <c r="R96" s="135">
        <f>N96/68.5</f>
        <v>1.0421897810218985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>
        <f>F97-15.3</f>
        <v>-15.3</v>
      </c>
      <c r="L97" s="135">
        <f>F97/15.3</f>
        <v>0</v>
      </c>
      <c r="M97" s="40">
        <f>E97-квітень!E97</f>
        <v>0</v>
      </c>
      <c r="N97" s="40">
        <f>F97-квітень!F97</f>
        <v>0</v>
      </c>
      <c r="O97" s="53">
        <f t="shared" si="33"/>
        <v>0</v>
      </c>
      <c r="P97" s="56"/>
      <c r="Q97" s="56">
        <f>N97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E98-квітень!E98</f>
        <v>0</v>
      </c>
      <c r="N98" s="40">
        <f>F98-квітень!F98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1507</v>
      </c>
      <c r="F99" s="57">
        <v>1649.93</v>
      </c>
      <c r="G99" s="49">
        <f t="shared" si="31"/>
        <v>142.93000000000006</v>
      </c>
      <c r="H99" s="40">
        <f>F99/E99*100</f>
        <v>109.48440610484407</v>
      </c>
      <c r="I99" s="56">
        <f t="shared" si="32"/>
        <v>-2922.7699999999995</v>
      </c>
      <c r="J99" s="56">
        <f>F99/D99*100</f>
        <v>36.08218339274389</v>
      </c>
      <c r="K99" s="56">
        <f>F99-1665.9</f>
        <v>-15.970000000000027</v>
      </c>
      <c r="L99" s="135">
        <f>F99/1665.9</f>
        <v>0.9904135902515157</v>
      </c>
      <c r="M99" s="40">
        <f>E99-квітень!E99</f>
        <v>330</v>
      </c>
      <c r="N99" s="40">
        <f>F99-квітень!F99</f>
        <v>411.47</v>
      </c>
      <c r="O99" s="53">
        <f t="shared" si="33"/>
        <v>81.47000000000003</v>
      </c>
      <c r="P99" s="56">
        <f>N99/M99*100</f>
        <v>124.68787878787879</v>
      </c>
      <c r="Q99" s="56">
        <f>N99-671</f>
        <v>-259.53</v>
      </c>
      <c r="R99" s="135">
        <f>N99/671</f>
        <v>0.6132190760059613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E100-квітень!E100</f>
        <v>0</v>
      </c>
      <c r="N100" s="40">
        <f>F100-квітень!F100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E101-квітень!E101</f>
        <v>0</v>
      </c>
      <c r="N101" s="40">
        <f>F101-квітень!F101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289.98</v>
      </c>
      <c r="G102" s="144"/>
      <c r="H102" s="146"/>
      <c r="I102" s="145"/>
      <c r="J102" s="145"/>
      <c r="K102" s="148">
        <f>F102-184.7</f>
        <v>105.28000000000003</v>
      </c>
      <c r="L102" s="149">
        <f>F102/184.7</f>
        <v>1.5700054141851654</v>
      </c>
      <c r="M102" s="40">
        <f>E102-квітень!E102</f>
        <v>0</v>
      </c>
      <c r="N102" s="40">
        <f>F102-квітень!F102</f>
        <v>55.33000000000001</v>
      </c>
      <c r="O102" s="53"/>
      <c r="P102" s="60"/>
      <c r="Q102" s="60">
        <f>N102-45.1</f>
        <v>10.230000000000011</v>
      </c>
      <c r="R102" s="138">
        <f>N102/45.1</f>
        <v>1.2268292682926831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13.28</v>
      </c>
      <c r="G103" s="49">
        <f>F103-E103</f>
        <v>-46.22</v>
      </c>
      <c r="H103" s="40">
        <f>F103/E103*100</f>
        <v>22.319327731092436</v>
      </c>
      <c r="I103" s="56">
        <f aca="true" t="shared" si="34" ref="I103:I110">F103-D103</f>
        <v>-52.22</v>
      </c>
      <c r="J103" s="56">
        <f>F104-D103</f>
        <v>-53.83</v>
      </c>
      <c r="K103" s="56">
        <f>F103-59.1</f>
        <v>-45.82</v>
      </c>
      <c r="L103" s="135">
        <f>F103/59.1</f>
        <v>0.22470389170896785</v>
      </c>
      <c r="M103" s="40">
        <f>E103-квітень!E103</f>
        <v>0</v>
      </c>
      <c r="N103" s="40">
        <f>F103-квітень!F103</f>
        <v>0.08999999999999986</v>
      </c>
      <c r="O103" s="53">
        <f aca="true" t="shared" si="35" ref="O103:O109">N103-M103</f>
        <v>0.08999999999999986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12.2</v>
      </c>
      <c r="F104" s="57">
        <v>11.67</v>
      </c>
      <c r="G104" s="49">
        <f>F104-E104</f>
        <v>-0.5299999999999994</v>
      </c>
      <c r="H104" s="40">
        <f>F104/E104*100</f>
        <v>95.65573770491804</v>
      </c>
      <c r="I104" s="56">
        <f t="shared" si="34"/>
        <v>-33.33</v>
      </c>
      <c r="J104" s="56">
        <f aca="true" t="shared" si="36" ref="J104:J109">F104/D104*100</f>
        <v>25.93333333333333</v>
      </c>
      <c r="K104" s="56">
        <f>F104-13.3</f>
        <v>-1.6300000000000008</v>
      </c>
      <c r="L104" s="135">
        <f>F104/13.3</f>
        <v>0.8774436090225564</v>
      </c>
      <c r="M104" s="40">
        <f>E104-квітень!E104</f>
        <v>3</v>
      </c>
      <c r="N104" s="40">
        <f>F104-квітень!F104</f>
        <v>2.66</v>
      </c>
      <c r="O104" s="53">
        <f t="shared" si="35"/>
        <v>-0.33999999999999986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E105-квітень!E105</f>
        <v>0</v>
      </c>
      <c r="N105" s="40">
        <f>F105-квітень!F105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197611.26</v>
      </c>
      <c r="F106" s="22">
        <f>F8+F74+F104+F105</f>
        <v>190165.20000000004</v>
      </c>
      <c r="G106" s="50">
        <f>F106-E106</f>
        <v>-7446.059999999969</v>
      </c>
      <c r="H106" s="51">
        <f>F106/E106*100</f>
        <v>96.23196572907841</v>
      </c>
      <c r="I106" s="36">
        <f t="shared" si="34"/>
        <v>-316714.3999999999</v>
      </c>
      <c r="J106" s="36">
        <f t="shared" si="36"/>
        <v>37.516838318212066</v>
      </c>
      <c r="K106" s="36">
        <f>F106-194689.2</f>
        <v>-4523.999999999971</v>
      </c>
      <c r="L106" s="136">
        <f>F106/194689.2</f>
        <v>0.976762963739129</v>
      </c>
      <c r="M106" s="22">
        <f>M8+M74+M104+M105</f>
        <v>38933.46999999999</v>
      </c>
      <c r="N106" s="22">
        <f>N8+N74+N104+N105</f>
        <v>40208.07000000001</v>
      </c>
      <c r="O106" s="55">
        <f t="shared" si="35"/>
        <v>1274.6000000000204</v>
      </c>
      <c r="P106" s="36">
        <f>N106/M106*100</f>
        <v>103.27378987796368</v>
      </c>
      <c r="Q106" s="36">
        <f>N106-38187.1</f>
        <v>2020.9700000000084</v>
      </c>
      <c r="R106" s="136">
        <f>N106/38187.1</f>
        <v>1.0529228456730155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156486.3</v>
      </c>
      <c r="F107" s="71">
        <f>F10-F18+F96</f>
        <v>149111.13</v>
      </c>
      <c r="G107" s="71">
        <f>G10-G18+G96</f>
        <v>-7375.169999999995</v>
      </c>
      <c r="H107" s="72">
        <f>F107/E107*100</f>
        <v>95.28701873582544</v>
      </c>
      <c r="I107" s="52">
        <f t="shared" si="34"/>
        <v>-239102.07</v>
      </c>
      <c r="J107" s="52">
        <f t="shared" si="36"/>
        <v>38.40959812803892</v>
      </c>
      <c r="K107" s="52">
        <f>F107-146288.9</f>
        <v>2822.2300000000105</v>
      </c>
      <c r="L107" s="137">
        <f>F107/146288.9</f>
        <v>1.019292167758456</v>
      </c>
      <c r="M107" s="71">
        <f>M10-M18+M96</f>
        <v>30488.59999999999</v>
      </c>
      <c r="N107" s="71">
        <f>N10-N18+N96</f>
        <v>31711.39</v>
      </c>
      <c r="O107" s="53">
        <f t="shared" si="35"/>
        <v>1222.7900000000081</v>
      </c>
      <c r="P107" s="52">
        <f>N107/M107*100</f>
        <v>104.01064660233664</v>
      </c>
      <c r="Q107" s="52">
        <f>N107-28646.6</f>
        <v>3064.790000000001</v>
      </c>
      <c r="R107" s="137">
        <f>N107/28646.6</f>
        <v>1.1069861693883394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41124.96000000002</v>
      </c>
      <c r="F108" s="71">
        <f>F106-F107</f>
        <v>41054.070000000036</v>
      </c>
      <c r="G108" s="62">
        <f>F108-E108</f>
        <v>-70.88999999998487</v>
      </c>
      <c r="H108" s="72">
        <f>F108/E108*100</f>
        <v>99.8276229326424</v>
      </c>
      <c r="I108" s="52">
        <f t="shared" si="34"/>
        <v>-77612.32999999993</v>
      </c>
      <c r="J108" s="52">
        <f t="shared" si="36"/>
        <v>34.59620414877341</v>
      </c>
      <c r="K108" s="52">
        <f>F108-48400.3</f>
        <v>-7346.229999999967</v>
      </c>
      <c r="L108" s="137">
        <f>F108/48400.3</f>
        <v>0.8482193292190344</v>
      </c>
      <c r="M108" s="71">
        <f>M106-M107</f>
        <v>8444.869999999995</v>
      </c>
      <c r="N108" s="71">
        <f>N106-N107</f>
        <v>8496.680000000008</v>
      </c>
      <c r="O108" s="53">
        <f t="shared" si="35"/>
        <v>51.810000000012224</v>
      </c>
      <c r="P108" s="52">
        <f>N108/M108*100</f>
        <v>100.61350855608214</v>
      </c>
      <c r="Q108" s="52">
        <f>N108-9540.4</f>
        <v>-1043.719999999992</v>
      </c>
      <c r="R108" s="137">
        <f>N108/9540.4</f>
        <v>0.8905999748438229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151116.4</v>
      </c>
      <c r="F109" s="71">
        <f>F107</f>
        <v>149111.13</v>
      </c>
      <c r="G109" s="111">
        <f>F109-E109</f>
        <v>-2005.2699999999895</v>
      </c>
      <c r="H109" s="72">
        <f>F109/E109*100</f>
        <v>98.67302953220167</v>
      </c>
      <c r="I109" s="81">
        <f t="shared" si="34"/>
        <v>-239102.07</v>
      </c>
      <c r="J109" s="52">
        <f t="shared" si="36"/>
        <v>38.40959812803892</v>
      </c>
      <c r="K109" s="52"/>
      <c r="L109" s="137"/>
      <c r="M109" s="72">
        <f>E109-квітень!E109</f>
        <v>30488.59999999999</v>
      </c>
      <c r="N109" s="71">
        <f>N107</f>
        <v>31711.39</v>
      </c>
      <c r="O109" s="118">
        <f t="shared" si="35"/>
        <v>1222.7900000000081</v>
      </c>
      <c r="P109" s="52">
        <f>N109/M109*100</f>
        <v>104.01064660233664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244</v>
      </c>
      <c r="C111" s="93"/>
      <c r="D111" s="84"/>
      <c r="E111" s="111">
        <f>0-квітень!G109</f>
        <v>3228.060000000012</v>
      </c>
      <c r="F111" s="84">
        <v>0</v>
      </c>
      <c r="G111" s="62">
        <f>F111-E111</f>
        <v>-3228.060000000012</v>
      </c>
      <c r="H111" s="72"/>
      <c r="I111" s="85"/>
      <c r="J111" s="52"/>
      <c r="K111" s="52"/>
      <c r="L111" s="137"/>
      <c r="M111" s="159">
        <f>E111</f>
        <v>3228.060000000012</v>
      </c>
      <c r="N111" s="84">
        <v>0</v>
      </c>
      <c r="O111" s="118">
        <f>N111-M111</f>
        <v>-3228.060000000012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-1.14</v>
      </c>
      <c r="G113" s="49">
        <f aca="true" t="shared" si="37" ref="G113:G125">F113-E113</f>
        <v>-1.14</v>
      </c>
      <c r="H113" s="40"/>
      <c r="I113" s="60">
        <f aca="true" t="shared" si="38" ref="I113:I124">F113-D113</f>
        <v>-1.14</v>
      </c>
      <c r="J113" s="60"/>
      <c r="K113" s="60">
        <f>F113-6.7</f>
        <v>-7.84</v>
      </c>
      <c r="L113" s="138">
        <f>F113/6.7</f>
        <v>-0.17014925373134326</v>
      </c>
      <c r="M113" s="40">
        <f>E113-квітень!E113</f>
        <v>0</v>
      </c>
      <c r="N113" s="40">
        <f>F113-квітень!F113</f>
        <v>-0.18999999999999995</v>
      </c>
      <c r="O113" s="53"/>
      <c r="P113" s="60"/>
      <c r="Q113" s="60">
        <f>N113-0</f>
        <v>-0.18999999999999995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1369.6</v>
      </c>
      <c r="F114" s="32">
        <f>499.76</f>
        <v>499.76</v>
      </c>
      <c r="G114" s="49">
        <f t="shared" si="37"/>
        <v>-869.8399999999999</v>
      </c>
      <c r="H114" s="40">
        <f aca="true" t="shared" si="39" ref="H114:H125">F114/E114*100</f>
        <v>36.48948598130841</v>
      </c>
      <c r="I114" s="60">
        <f t="shared" si="38"/>
        <v>-3171.74</v>
      </c>
      <c r="J114" s="60">
        <f aca="true" t="shared" si="40" ref="J114:J120">F114/D114*100</f>
        <v>13.611875255345227</v>
      </c>
      <c r="K114" s="60">
        <f>F114-1614.9</f>
        <v>-1115.14</v>
      </c>
      <c r="L114" s="138">
        <f>F114/1614.9</f>
        <v>0.3094680785187937</v>
      </c>
      <c r="M114" s="40">
        <f>E114-квітень!E114</f>
        <v>327.5</v>
      </c>
      <c r="N114" s="40">
        <f>F114-квітень!F114</f>
        <v>124.76999999999998</v>
      </c>
      <c r="O114" s="53">
        <f aca="true" t="shared" si="41" ref="O114:O125">N114-M114</f>
        <v>-202.73000000000002</v>
      </c>
      <c r="P114" s="60">
        <f>N114/M114*100</f>
        <v>38.09770992366412</v>
      </c>
      <c r="Q114" s="60">
        <f>N114-411.7</f>
        <v>-286.93</v>
      </c>
      <c r="R114" s="138">
        <f>N114/411.7</f>
        <v>0.303060480932718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112.5</v>
      </c>
      <c r="F115" s="32">
        <v>119.54</v>
      </c>
      <c r="G115" s="49">
        <f t="shared" si="37"/>
        <v>7.040000000000006</v>
      </c>
      <c r="H115" s="40">
        <f t="shared" si="39"/>
        <v>106.25777777777779</v>
      </c>
      <c r="I115" s="60">
        <f t="shared" si="38"/>
        <v>-148.56</v>
      </c>
      <c r="J115" s="60">
        <f t="shared" si="40"/>
        <v>44.58784035807534</v>
      </c>
      <c r="K115" s="60">
        <f>F115-105.4</f>
        <v>14.14</v>
      </c>
      <c r="L115" s="138">
        <f>F115/105.4</f>
        <v>1.13415559772296</v>
      </c>
      <c r="M115" s="40">
        <f>E115-квітень!E115</f>
        <v>22</v>
      </c>
      <c r="N115" s="40">
        <f>F115-квітень!F115</f>
        <v>23.010000000000005</v>
      </c>
      <c r="O115" s="53">
        <f t="shared" si="41"/>
        <v>1.0100000000000051</v>
      </c>
      <c r="P115" s="60">
        <f>N115/M115*100</f>
        <v>104.59090909090911</v>
      </c>
      <c r="Q115" s="60">
        <f>N115-21.2</f>
        <v>1.8100000000000058</v>
      </c>
      <c r="R115" s="138">
        <f>N115/21.2</f>
        <v>1.0853773584905664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1482.1</v>
      </c>
      <c r="F116" s="38">
        <f>SUM(F113:F115)</f>
        <v>618.16</v>
      </c>
      <c r="G116" s="62">
        <f t="shared" si="37"/>
        <v>-863.9399999999999</v>
      </c>
      <c r="H116" s="72">
        <f t="shared" si="39"/>
        <v>41.70838674853249</v>
      </c>
      <c r="I116" s="61">
        <f t="shared" si="38"/>
        <v>-3321.44</v>
      </c>
      <c r="J116" s="61">
        <f t="shared" si="40"/>
        <v>15.690933089653772</v>
      </c>
      <c r="K116" s="61">
        <f>F116-1727</f>
        <v>-1108.8400000000001</v>
      </c>
      <c r="L116" s="139">
        <f>F116/1727</f>
        <v>0.35793862188766645</v>
      </c>
      <c r="M116" s="62">
        <f>M114+M115+M113</f>
        <v>349.5</v>
      </c>
      <c r="N116" s="38">
        <f>SUM(N113:N115)</f>
        <v>147.58999999999997</v>
      </c>
      <c r="O116" s="61">
        <f t="shared" si="41"/>
        <v>-201.91000000000003</v>
      </c>
      <c r="P116" s="61">
        <f>N116/M116*100</f>
        <v>42.22889842632331</v>
      </c>
      <c r="Q116" s="61">
        <f>N116-432.8</f>
        <v>-285.21000000000004</v>
      </c>
      <c r="R116" s="139">
        <f>N116/432.8</f>
        <v>0.3410120147874306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129.75</v>
      </c>
      <c r="G118" s="49">
        <f t="shared" si="37"/>
        <v>23.25</v>
      </c>
      <c r="H118" s="40">
        <f t="shared" si="39"/>
        <v>121.83098591549295</v>
      </c>
      <c r="I118" s="60">
        <f t="shared" si="38"/>
        <v>-137.45</v>
      </c>
      <c r="J118" s="60">
        <f t="shared" si="40"/>
        <v>48.55913173652695</v>
      </c>
      <c r="K118" s="60">
        <f>F118-88.5</f>
        <v>41.25</v>
      </c>
      <c r="L118" s="138">
        <f>F118/88.5</f>
        <v>1.4661016949152543</v>
      </c>
      <c r="M118" s="40">
        <f>E118-квітень!E118</f>
        <v>0</v>
      </c>
      <c r="N118" s="40">
        <f>F118-квітень!F118</f>
        <v>1.8900000000000006</v>
      </c>
      <c r="O118" s="53">
        <f>N118-M118</f>
        <v>1.8900000000000006</v>
      </c>
      <c r="P118" s="60" t="e">
        <f>N118/M118*100</f>
        <v>#DIV/0!</v>
      </c>
      <c r="Q118" s="60">
        <f>N118-0.1</f>
        <v>1.7900000000000005</v>
      </c>
      <c r="R118" s="138">
        <f>N118/0.1</f>
        <v>18.900000000000006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31612.6</v>
      </c>
      <c r="F119" s="33">
        <v>35174.22</v>
      </c>
      <c r="G119" s="49">
        <f t="shared" si="37"/>
        <v>3561.6200000000026</v>
      </c>
      <c r="H119" s="40">
        <f t="shared" si="39"/>
        <v>111.2664570456084</v>
      </c>
      <c r="I119" s="53">
        <f t="shared" si="38"/>
        <v>-36801.770000000004</v>
      </c>
      <c r="J119" s="60">
        <f t="shared" si="40"/>
        <v>48.86937991405189</v>
      </c>
      <c r="K119" s="60">
        <f>F119-30022.6</f>
        <v>5151.620000000003</v>
      </c>
      <c r="L119" s="138">
        <f>F119/30022.6</f>
        <v>1.1715914011444712</v>
      </c>
      <c r="M119" s="40">
        <f>E119-квітень!E119</f>
        <v>6500</v>
      </c>
      <c r="N119" s="40">
        <f>F119-квітень!F119</f>
        <v>8612.380000000001</v>
      </c>
      <c r="O119" s="53">
        <f t="shared" si="41"/>
        <v>2112.380000000001</v>
      </c>
      <c r="P119" s="60">
        <f aca="true" t="shared" si="42" ref="P119:P124">N119/M119*100</f>
        <v>132.49815384615385</v>
      </c>
      <c r="Q119" s="60">
        <f>N119-6377.4</f>
        <v>2234.9800000000014</v>
      </c>
      <c r="R119" s="138">
        <f>N119/6377.4</f>
        <v>1.3504531627308938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1648</v>
      </c>
      <c r="F120" s="33">
        <v>1611.93</v>
      </c>
      <c r="G120" s="49">
        <f t="shared" si="37"/>
        <v>-36.069999999999936</v>
      </c>
      <c r="H120" s="40">
        <f t="shared" si="39"/>
        <v>97.811286407767</v>
      </c>
      <c r="I120" s="60">
        <f t="shared" si="38"/>
        <v>-8388.07</v>
      </c>
      <c r="J120" s="60">
        <f t="shared" si="40"/>
        <v>16.1193</v>
      </c>
      <c r="K120" s="60">
        <f>F120-436.1</f>
        <v>1175.83</v>
      </c>
      <c r="L120" s="138">
        <f>F120/436.1</f>
        <v>3.696239394634258</v>
      </c>
      <c r="M120" s="40">
        <f>E120-квітень!E120</f>
        <v>207</v>
      </c>
      <c r="N120" s="40">
        <f>F120-квітень!F120</f>
        <v>176.93000000000006</v>
      </c>
      <c r="O120" s="53">
        <f t="shared" si="41"/>
        <v>-30.069999999999936</v>
      </c>
      <c r="P120" s="60">
        <f t="shared" si="42"/>
        <v>85.47342995169085</v>
      </c>
      <c r="Q120" s="60">
        <f>N120-0</f>
        <v>176.93000000000006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3055.4</v>
      </c>
      <c r="F121" s="33">
        <v>2070.75</v>
      </c>
      <c r="G121" s="49">
        <f t="shared" si="37"/>
        <v>-984.6500000000001</v>
      </c>
      <c r="H121" s="40">
        <f t="shared" si="39"/>
        <v>67.77345028474177</v>
      </c>
      <c r="I121" s="60">
        <f t="shared" si="38"/>
        <v>-21007.25</v>
      </c>
      <c r="J121" s="60">
        <f>F121/D121*100</f>
        <v>8.972831267874167</v>
      </c>
      <c r="K121" s="60">
        <f>F121-7468.7</f>
        <v>-5397.95</v>
      </c>
      <c r="L121" s="138">
        <f>F121/7468.7</f>
        <v>0.2772570862399079</v>
      </c>
      <c r="M121" s="40">
        <f>E121-квітень!E121</f>
        <v>1575.4</v>
      </c>
      <c r="N121" s="40">
        <f>F121-квітень!F121</f>
        <v>583.26</v>
      </c>
      <c r="O121" s="53">
        <f t="shared" si="41"/>
        <v>-992.1400000000001</v>
      </c>
      <c r="P121" s="60">
        <f t="shared" si="42"/>
        <v>37.02297829122762</v>
      </c>
      <c r="Q121" s="60">
        <f>N121-192.7</f>
        <v>390.56</v>
      </c>
      <c r="R121" s="138">
        <f>N121/192.7</f>
        <v>3.0267773741567203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672.86</v>
      </c>
      <c r="F122" s="33">
        <v>700.79</v>
      </c>
      <c r="G122" s="49">
        <f t="shared" si="37"/>
        <v>27.92999999999995</v>
      </c>
      <c r="H122" s="40">
        <f t="shared" si="39"/>
        <v>104.15093778794993</v>
      </c>
      <c r="I122" s="60">
        <f t="shared" si="38"/>
        <v>-1299.21</v>
      </c>
      <c r="J122" s="60">
        <f>F122/D122*100</f>
        <v>35.0395</v>
      </c>
      <c r="K122" s="60">
        <f>F122-1200</f>
        <v>-499.21000000000004</v>
      </c>
      <c r="L122" s="138">
        <f>F122/1200</f>
        <v>0.5839916666666667</v>
      </c>
      <c r="M122" s="40">
        <f>E122-квітень!E122</f>
        <v>189.59000000000003</v>
      </c>
      <c r="N122" s="40">
        <f>F122-квітень!F122</f>
        <v>123.51999999999998</v>
      </c>
      <c r="O122" s="53">
        <f t="shared" si="41"/>
        <v>-66.07000000000005</v>
      </c>
      <c r="P122" s="60">
        <f t="shared" si="42"/>
        <v>65.15111556516692</v>
      </c>
      <c r="Q122" s="60">
        <f>N122-29.5</f>
        <v>94.01999999999998</v>
      </c>
      <c r="R122" s="138">
        <f>N122/29.5</f>
        <v>4.187118644067796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37095.36</v>
      </c>
      <c r="F123" s="38">
        <f>F119+F120+F121+F122+F118</f>
        <v>39687.44</v>
      </c>
      <c r="G123" s="62">
        <f t="shared" si="37"/>
        <v>2592.0800000000017</v>
      </c>
      <c r="H123" s="72">
        <f t="shared" si="39"/>
        <v>106.98761246689614</v>
      </c>
      <c r="I123" s="61">
        <f t="shared" si="38"/>
        <v>-67633.75</v>
      </c>
      <c r="J123" s="61">
        <f>F123/D123*100</f>
        <v>36.98005957630548</v>
      </c>
      <c r="K123" s="61">
        <f>F123-39215.9</f>
        <v>471.5400000000009</v>
      </c>
      <c r="L123" s="139">
        <f>F123/39215.9</f>
        <v>1.0120242044680856</v>
      </c>
      <c r="M123" s="62">
        <f>M119+M120+M121+M122+M118</f>
        <v>8471.99</v>
      </c>
      <c r="N123" s="62">
        <f>N119+N120+N121+N122+N118</f>
        <v>9497.980000000001</v>
      </c>
      <c r="O123" s="61">
        <f t="shared" si="41"/>
        <v>1025.9900000000016</v>
      </c>
      <c r="P123" s="61">
        <f t="shared" si="42"/>
        <v>112.1103778451108</v>
      </c>
      <c r="Q123" s="61">
        <f>N123-6599.8</f>
        <v>2898.180000000001</v>
      </c>
      <c r="R123" s="139">
        <f>N123/6599.8</f>
        <v>1.4391314888329951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14.16</v>
      </c>
      <c r="F124" s="33">
        <v>10.71</v>
      </c>
      <c r="G124" s="49">
        <f t="shared" si="37"/>
        <v>-3.4499999999999993</v>
      </c>
      <c r="H124" s="40">
        <f t="shared" si="39"/>
        <v>75.63559322033899</v>
      </c>
      <c r="I124" s="60">
        <f t="shared" si="38"/>
        <v>-32.79</v>
      </c>
      <c r="J124" s="60">
        <f>F124/D124*100</f>
        <v>24.620689655172416</v>
      </c>
      <c r="K124" s="60">
        <f>F124-99.2</f>
        <v>-88.49000000000001</v>
      </c>
      <c r="L124" s="138">
        <f>F124/99.2</f>
        <v>0.10796370967741936</v>
      </c>
      <c r="M124" s="40">
        <f>E124-квітень!E124</f>
        <v>3</v>
      </c>
      <c r="N124" s="40">
        <f>F124-квітень!F124</f>
        <v>1.0600000000000005</v>
      </c>
      <c r="O124" s="53">
        <f t="shared" si="41"/>
        <v>-1.9399999999999995</v>
      </c>
      <c r="P124" s="60">
        <f t="shared" si="42"/>
        <v>35.33333333333335</v>
      </c>
      <c r="Q124" s="60">
        <f>N124-1.4</f>
        <v>-0.3399999999999994</v>
      </c>
      <c r="R124" s="138">
        <f>N124/1.4</f>
        <v>0.7571428571428576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E125-квітень!E125</f>
        <v>0</v>
      </c>
      <c r="N125" s="40">
        <f>F125-квітень!F125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E126-квітень!E126</f>
        <v>0</v>
      </c>
      <c r="N126" s="40">
        <f>F126-квітень!F126</f>
        <v>0</v>
      </c>
      <c r="O126" s="53"/>
      <c r="P126" s="63"/>
      <c r="Q126" s="53">
        <f>N126-0</f>
        <v>0</v>
      </c>
      <c r="R126" s="162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5011.5</v>
      </c>
      <c r="F127" s="33">
        <v>5292.86</v>
      </c>
      <c r="G127" s="49">
        <f aca="true" t="shared" si="43" ref="G127:G134">F127-E127</f>
        <v>281.3599999999997</v>
      </c>
      <c r="H127" s="40">
        <f>F127/E127*100</f>
        <v>105.61428713957896</v>
      </c>
      <c r="I127" s="60">
        <f aca="true" t="shared" si="44" ref="I127:I134">F127-D127</f>
        <v>-3407.1400000000003</v>
      </c>
      <c r="J127" s="60">
        <f>F127/D127*100</f>
        <v>60.837471264367814</v>
      </c>
      <c r="K127" s="60">
        <f>F127-6289.1</f>
        <v>-996.2400000000007</v>
      </c>
      <c r="L127" s="138">
        <f>F127/6289.1</f>
        <v>0.8415925967149511</v>
      </c>
      <c r="M127" s="40">
        <f>E127-квітень!E127</f>
        <v>2502</v>
      </c>
      <c r="N127" s="40">
        <f>F127-квітень!F127</f>
        <v>2674.43</v>
      </c>
      <c r="O127" s="53">
        <f aca="true" t="shared" si="45" ref="O127:O134">N127-M127</f>
        <v>172.42999999999984</v>
      </c>
      <c r="P127" s="60">
        <f>N127/M127*100</f>
        <v>106.89168665067945</v>
      </c>
      <c r="Q127" s="60">
        <f>N127-3456.6</f>
        <v>-782.1700000000001</v>
      </c>
      <c r="R127" s="162">
        <f>N127/3456.5</f>
        <v>0.77373933169391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0.04</v>
      </c>
      <c r="G128" s="49">
        <f t="shared" si="43"/>
        <v>0.04</v>
      </c>
      <c r="H128" s="40"/>
      <c r="I128" s="60">
        <f t="shared" si="44"/>
        <v>0.04</v>
      </c>
      <c r="J128" s="60"/>
      <c r="K128" s="60">
        <f>F128-(-0.5)</f>
        <v>0.54</v>
      </c>
      <c r="L128" s="138">
        <f>F128/(-0.5)</f>
        <v>-0.08</v>
      </c>
      <c r="M128" s="40">
        <f>E128-квітень!E128</f>
        <v>0</v>
      </c>
      <c r="N128" s="40">
        <f>F128-квітень!F128</f>
        <v>0.31</v>
      </c>
      <c r="O128" s="53">
        <f t="shared" si="45"/>
        <v>0.31</v>
      </c>
      <c r="P128" s="60"/>
      <c r="Q128" s="60">
        <f>N128-0.1</f>
        <v>0.21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5032.86</v>
      </c>
      <c r="F129" s="38">
        <f>F127+F124+F128+F126</f>
        <v>5321.37</v>
      </c>
      <c r="G129" s="62">
        <f t="shared" si="43"/>
        <v>288.5100000000002</v>
      </c>
      <c r="H129" s="72">
        <f>F129/E129*100</f>
        <v>105.73252584017835</v>
      </c>
      <c r="I129" s="61">
        <f t="shared" si="44"/>
        <v>-3429.330000000001</v>
      </c>
      <c r="J129" s="61">
        <f>F129/D129*100</f>
        <v>60.81079227947478</v>
      </c>
      <c r="K129" s="61">
        <f>F129-2938.1</f>
        <v>2383.27</v>
      </c>
      <c r="L129" s="139">
        <f>G129/2938.1</f>
        <v>0.0981961131343386</v>
      </c>
      <c r="M129" s="62">
        <f>M124+M127+M128+M126</f>
        <v>2505</v>
      </c>
      <c r="N129" s="62">
        <f>N124+N127+N128+N126</f>
        <v>2675.7999999999997</v>
      </c>
      <c r="O129" s="61">
        <f t="shared" si="45"/>
        <v>170.79999999999973</v>
      </c>
      <c r="P129" s="61">
        <f>N129/M129*100</f>
        <v>106.81836327345309</v>
      </c>
      <c r="Q129" s="61">
        <f>N129-3458.2</f>
        <v>-782.4000000000001</v>
      </c>
      <c r="R129" s="137">
        <f>N129/3458.2</f>
        <v>0.7737551327280088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8.65</v>
      </c>
      <c r="F130" s="33">
        <v>13.15</v>
      </c>
      <c r="G130" s="49">
        <f>F130-E130</f>
        <v>4.5</v>
      </c>
      <c r="H130" s="40">
        <f>F130/E130*100</f>
        <v>152.02312138728325</v>
      </c>
      <c r="I130" s="60">
        <f>F130-D130</f>
        <v>-16.85</v>
      </c>
      <c r="J130" s="60">
        <f>F130/D130*100</f>
        <v>43.833333333333336</v>
      </c>
      <c r="K130" s="60">
        <f>F130-9.3</f>
        <v>3.8499999999999996</v>
      </c>
      <c r="L130" s="138">
        <f>F130/9.3</f>
        <v>1.4139784946236558</v>
      </c>
      <c r="M130" s="40">
        <f>E130-квітень!E130</f>
        <v>0.40000000000000036</v>
      </c>
      <c r="N130" s="40">
        <f>F130-квітень!F130</f>
        <v>0.9600000000000009</v>
      </c>
      <c r="O130" s="53">
        <f>N130-M130</f>
        <v>0.5600000000000005</v>
      </c>
      <c r="P130" s="60">
        <f>N130/M130*100</f>
        <v>240</v>
      </c>
      <c r="Q130" s="60">
        <f>N130-0.5</f>
        <v>0.46000000000000085</v>
      </c>
      <c r="R130" s="138">
        <f>N130/0.5</f>
        <v>1.9200000000000017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E131-квітень!E131</f>
        <v>0</v>
      </c>
      <c r="N131" s="40">
        <f>F131-квітень!F131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/>
      <c r="M132" s="40">
        <f>E132-квітень!E132</f>
        <v>0</v>
      </c>
      <c r="N132" s="40">
        <f>F132-квітень!F132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43618.97</v>
      </c>
      <c r="F133" s="31">
        <f>F116+F130+F123+F129+F132+F131</f>
        <v>45640.12</v>
      </c>
      <c r="G133" s="50">
        <f t="shared" si="43"/>
        <v>2021.1500000000015</v>
      </c>
      <c r="H133" s="51">
        <f>F133/E133*100</f>
        <v>104.63364907516157</v>
      </c>
      <c r="I133" s="36">
        <f t="shared" si="44"/>
        <v>-74401.37</v>
      </c>
      <c r="J133" s="36">
        <f>F133/D133*100</f>
        <v>38.02028781881997</v>
      </c>
      <c r="K133" s="36">
        <f>F133-47348.4</f>
        <v>-1708.2799999999988</v>
      </c>
      <c r="L133" s="136">
        <f>F133/47348.4</f>
        <v>0.9639210617465427</v>
      </c>
      <c r="M133" s="31">
        <f>M116+M130+M123+M129+M132+M131</f>
        <v>11326.89</v>
      </c>
      <c r="N133" s="31">
        <f>N116+N130+N123+N129+N132+N131</f>
        <v>12322.33</v>
      </c>
      <c r="O133" s="36">
        <f t="shared" si="45"/>
        <v>995.4400000000005</v>
      </c>
      <c r="P133" s="36">
        <f>N133/M133*100</f>
        <v>108.7882905192864</v>
      </c>
      <c r="Q133" s="36">
        <f>N133-10488.3</f>
        <v>1834.0300000000007</v>
      </c>
      <c r="R133" s="136">
        <f>N133/10488.3</f>
        <v>1.174864372681941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241230.23</v>
      </c>
      <c r="F134" s="31">
        <f>F106+F133</f>
        <v>235805.32000000004</v>
      </c>
      <c r="G134" s="50">
        <f t="shared" si="43"/>
        <v>-5424.909999999974</v>
      </c>
      <c r="H134" s="51">
        <f>F134/E134*100</f>
        <v>97.75114835317282</v>
      </c>
      <c r="I134" s="36">
        <f t="shared" si="44"/>
        <v>-391115.7699999999</v>
      </c>
      <c r="J134" s="36">
        <f>F134/D134*100</f>
        <v>37.61323773618783</v>
      </c>
      <c r="K134" s="36">
        <f>F134-242037.6</f>
        <v>-6232.27999999997</v>
      </c>
      <c r="L134" s="136">
        <f>F134/242037.6</f>
        <v>0.9742507775651388</v>
      </c>
      <c r="M134" s="22">
        <f>M106+M133</f>
        <v>50260.359999999986</v>
      </c>
      <c r="N134" s="22">
        <f>N106+N133</f>
        <v>52530.40000000001</v>
      </c>
      <c r="O134" s="36">
        <f t="shared" si="45"/>
        <v>2270.0400000000227</v>
      </c>
      <c r="P134" s="36">
        <f>N134/M134*100</f>
        <v>104.51656136167753</v>
      </c>
      <c r="Q134" s="36">
        <f>N134-48675.4</f>
        <v>3855.0000000000073</v>
      </c>
      <c r="R134" s="136">
        <f>N134/48675.4</f>
        <v>1.0791981165023812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>
        <f>IF(O106&lt;0,ABS(O106/C136),0)</f>
        <v>0</v>
      </c>
      <c r="D137" s="4" t="s">
        <v>104</v>
      </c>
      <c r="G137" s="198"/>
      <c r="H137" s="198"/>
      <c r="I137" s="198"/>
      <c r="J137" s="198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41789</v>
      </c>
      <c r="D138" s="39">
        <v>2970.6</v>
      </c>
      <c r="N138" s="193"/>
      <c r="O138" s="193"/>
    </row>
    <row r="139" spans="3:15" ht="15.75">
      <c r="C139" s="120">
        <v>41788</v>
      </c>
      <c r="D139" s="39">
        <v>5993.3</v>
      </c>
      <c r="F139" s="4" t="s">
        <v>166</v>
      </c>
      <c r="G139" s="189" t="s">
        <v>151</v>
      </c>
      <c r="H139" s="189"/>
      <c r="I139" s="115">
        <v>13825.22196</v>
      </c>
      <c r="J139" s="190" t="s">
        <v>161</v>
      </c>
      <c r="K139" s="190"/>
      <c r="L139" s="190"/>
      <c r="M139" s="190"/>
      <c r="N139" s="193"/>
      <c r="O139" s="193"/>
    </row>
    <row r="140" spans="3:15" ht="15.75">
      <c r="C140" s="120">
        <v>41787</v>
      </c>
      <c r="D140" s="39">
        <v>2595.2</v>
      </c>
      <c r="G140" s="191" t="s">
        <v>155</v>
      </c>
      <c r="H140" s="191"/>
      <c r="I140" s="112">
        <v>0</v>
      </c>
      <c r="J140" s="192" t="s">
        <v>162</v>
      </c>
      <c r="K140" s="192"/>
      <c r="L140" s="192"/>
      <c r="M140" s="192"/>
      <c r="N140" s="193"/>
      <c r="O140" s="193"/>
    </row>
    <row r="141" spans="7:13" ht="15.75" customHeight="1">
      <c r="G141" s="189" t="s">
        <v>148</v>
      </c>
      <c r="H141" s="189"/>
      <c r="I141" s="112">
        <v>0</v>
      </c>
      <c r="J141" s="190" t="s">
        <v>163</v>
      </c>
      <c r="K141" s="190"/>
      <c r="L141" s="190"/>
      <c r="M141" s="190"/>
    </row>
    <row r="142" spans="2:13" ht="18.75" customHeight="1">
      <c r="B142" s="187" t="s">
        <v>160</v>
      </c>
      <c r="C142" s="188"/>
      <c r="D142" s="117">
        <v>118982.48</v>
      </c>
      <c r="E142" s="80"/>
      <c r="F142" s="100" t="s">
        <v>147</v>
      </c>
      <c r="G142" s="189" t="s">
        <v>149</v>
      </c>
      <c r="H142" s="189"/>
      <c r="I142" s="116">
        <v>105157.26</v>
      </c>
      <c r="J142" s="190" t="s">
        <v>164</v>
      </c>
      <c r="K142" s="190"/>
      <c r="L142" s="190"/>
      <c r="M142" s="190"/>
    </row>
    <row r="143" spans="7:12" ht="9.75" customHeight="1">
      <c r="G143" s="183"/>
      <c r="H143" s="183"/>
      <c r="I143" s="98"/>
      <c r="J143" s="99"/>
      <c r="K143" s="99"/>
      <c r="L143" s="99"/>
    </row>
    <row r="144" spans="2:12" ht="22.5" customHeight="1">
      <c r="B144" s="184" t="s">
        <v>169</v>
      </c>
      <c r="C144" s="185"/>
      <c r="D144" s="119">
        <v>27359.4</v>
      </c>
      <c r="E144" s="77" t="s">
        <v>104</v>
      </c>
      <c r="G144" s="183"/>
      <c r="H144" s="183"/>
      <c r="I144" s="98"/>
      <c r="J144" s="99"/>
      <c r="K144" s="99"/>
      <c r="L144" s="99"/>
    </row>
    <row r="145" spans="4:15" ht="15.75">
      <c r="D145" s="114"/>
      <c r="N145" s="183"/>
      <c r="O145" s="183"/>
    </row>
    <row r="146" spans="4:15" ht="15.75">
      <c r="D146" s="113"/>
      <c r="I146" s="39"/>
      <c r="N146" s="186"/>
      <c r="O146" s="186"/>
    </row>
    <row r="147" spans="14:15" ht="15.75">
      <c r="N147" s="183"/>
      <c r="O147" s="183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6" right="0.2" top="0.29" bottom="0.34" header="0.24" footer="0.29"/>
  <pageSetup fitToHeight="1" fitToWidth="1" horizontalDpi="600" verticalDpi="600" orientation="portrait" paperSize="9" scale="4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F9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03" sqref="F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09" t="s">
        <v>226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126"/>
      <c r="R1" s="127"/>
    </row>
    <row r="2" spans="2:18" s="1" customFormat="1" ht="15.75" customHeight="1">
      <c r="B2" s="210"/>
      <c r="C2" s="210"/>
      <c r="D2" s="21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211"/>
      <c r="B3" s="176"/>
      <c r="C3" s="177" t="s">
        <v>0</v>
      </c>
      <c r="D3" s="178" t="s">
        <v>224</v>
      </c>
      <c r="E3" s="178"/>
      <c r="F3" s="179" t="s">
        <v>107</v>
      </c>
      <c r="G3" s="180"/>
      <c r="H3" s="180"/>
      <c r="I3" s="180"/>
      <c r="J3" s="180"/>
      <c r="K3" s="180"/>
      <c r="L3" s="212"/>
      <c r="M3" s="213" t="s">
        <v>225</v>
      </c>
      <c r="N3" s="215" t="s">
        <v>221</v>
      </c>
      <c r="O3" s="215"/>
      <c r="P3" s="215"/>
      <c r="Q3" s="215"/>
      <c r="R3" s="215"/>
    </row>
    <row r="4" spans="1:18" ht="22.5" customHeight="1">
      <c r="A4" s="211"/>
      <c r="B4" s="176"/>
      <c r="C4" s="177"/>
      <c r="D4" s="178"/>
      <c r="E4" s="178"/>
      <c r="F4" s="216" t="s">
        <v>116</v>
      </c>
      <c r="G4" s="203" t="s">
        <v>217</v>
      </c>
      <c r="H4" s="205" t="s">
        <v>218</v>
      </c>
      <c r="I4" s="201" t="s">
        <v>188</v>
      </c>
      <c r="J4" s="207" t="s">
        <v>189</v>
      </c>
      <c r="K4" s="194" t="s">
        <v>219</v>
      </c>
      <c r="L4" s="195"/>
      <c r="M4" s="214"/>
      <c r="N4" s="199" t="s">
        <v>227</v>
      </c>
      <c r="O4" s="201" t="s">
        <v>136</v>
      </c>
      <c r="P4" s="201" t="s">
        <v>135</v>
      </c>
      <c r="Q4" s="194" t="s">
        <v>222</v>
      </c>
      <c r="R4" s="195"/>
    </row>
    <row r="5" spans="1:18" ht="82.5" customHeight="1">
      <c r="A5" s="175"/>
      <c r="B5" s="176"/>
      <c r="C5" s="177"/>
      <c r="D5" s="150" t="s">
        <v>209</v>
      </c>
      <c r="E5" s="158" t="s">
        <v>216</v>
      </c>
      <c r="F5" s="217"/>
      <c r="G5" s="204"/>
      <c r="H5" s="206"/>
      <c r="I5" s="202"/>
      <c r="J5" s="208"/>
      <c r="K5" s="196"/>
      <c r="L5" s="197"/>
      <c r="M5" s="151" t="s">
        <v>220</v>
      </c>
      <c r="N5" s="200"/>
      <c r="O5" s="202"/>
      <c r="P5" s="202"/>
      <c r="Q5" s="196"/>
      <c r="R5" s="197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154221.09000000003</v>
      </c>
      <c r="F8" s="22">
        <f>F10+F19+F33+F56+F68+F30</f>
        <v>145761.76</v>
      </c>
      <c r="G8" s="22">
        <f aca="true" t="shared" si="0" ref="G8:G30">F8-E8</f>
        <v>-8459.330000000016</v>
      </c>
      <c r="H8" s="51">
        <f>F8/E8*100</f>
        <v>94.51480339037934</v>
      </c>
      <c r="I8" s="36">
        <f aca="true" t="shared" si="1" ref="I8:I17">F8-D8</f>
        <v>-342714.54</v>
      </c>
      <c r="J8" s="36">
        <f aca="true" t="shared" si="2" ref="J8:J14">F8/D8*100</f>
        <v>29.840088454649695</v>
      </c>
      <c r="K8" s="36">
        <f>F8-151112.7</f>
        <v>-5350.940000000002</v>
      </c>
      <c r="L8" s="136">
        <f>F8/151112.7</f>
        <v>0.9645897399755282</v>
      </c>
      <c r="M8" s="22">
        <f>M10+M19+M33+M56+M68+M30</f>
        <v>38983.18999999999</v>
      </c>
      <c r="N8" s="22">
        <f>N10+N19+N33+N56+N68+N30</f>
        <v>38152.74999999999</v>
      </c>
      <c r="O8" s="36">
        <f aca="true" t="shared" si="3" ref="O8:O71">N8-M8</f>
        <v>-830.439999999995</v>
      </c>
      <c r="P8" s="36">
        <f>F8/M8*100</f>
        <v>373.90926704561645</v>
      </c>
      <c r="Q8" s="36">
        <f>N8-40194.7</f>
        <v>-2041.9500000000044</v>
      </c>
      <c r="R8" s="134">
        <f>N8/40194.7</f>
        <v>0.9491985261738487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117120.15</v>
      </c>
      <c r="G9" s="22">
        <f t="shared" si="0"/>
        <v>117120.15</v>
      </c>
      <c r="H9" s="20"/>
      <c r="I9" s="56">
        <f t="shared" si="1"/>
        <v>-269893.05000000005</v>
      </c>
      <c r="J9" s="56">
        <f t="shared" si="2"/>
        <v>30.26257243938966</v>
      </c>
      <c r="K9" s="56"/>
      <c r="L9" s="135"/>
      <c r="M9" s="20">
        <f>M10+M17</f>
        <v>32246.59999999999</v>
      </c>
      <c r="N9" s="20">
        <f>N10+N17</f>
        <v>31073.539999999994</v>
      </c>
      <c r="O9" s="36">
        <f t="shared" si="3"/>
        <v>-1173.0599999999977</v>
      </c>
      <c r="P9" s="56">
        <f>F9/M9*100</f>
        <v>363.2015468297434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125703.2</v>
      </c>
      <c r="F10" s="40">
        <v>117120.15</v>
      </c>
      <c r="G10" s="49">
        <f t="shared" si="0"/>
        <v>-8583.050000000003</v>
      </c>
      <c r="H10" s="40">
        <f aca="true" t="shared" si="4" ref="H10:H17">F10/E10*100</f>
        <v>93.17197175569119</v>
      </c>
      <c r="I10" s="56">
        <f t="shared" si="1"/>
        <v>-269893.05000000005</v>
      </c>
      <c r="J10" s="56">
        <f t="shared" si="2"/>
        <v>30.26257243938966</v>
      </c>
      <c r="K10" s="141">
        <f>F10-117271.4</f>
        <v>-151.25</v>
      </c>
      <c r="L10" s="142">
        <f>F10/117271.4</f>
        <v>0.998710256720735</v>
      </c>
      <c r="M10" s="40">
        <f>E10-березень!E10</f>
        <v>32246.59999999999</v>
      </c>
      <c r="N10" s="40">
        <f>F10-березень!F10</f>
        <v>31073.539999999994</v>
      </c>
      <c r="O10" s="53">
        <f t="shared" si="3"/>
        <v>-1173.0599999999977</v>
      </c>
      <c r="P10" s="56">
        <f aca="true" t="shared" si="5" ref="P10:P17">N10/M10*100</f>
        <v>96.36222113339082</v>
      </c>
      <c r="Q10" s="141">
        <f>N10-32056.3</f>
        <v>-982.7600000000057</v>
      </c>
      <c r="R10" s="142">
        <f>N10/32056.3</f>
        <v>0.9693426877088122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E11-березень!E11</f>
        <v>0</v>
      </c>
      <c r="N11" s="40">
        <f>F11-березень!F11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E12-березень!E12</f>
        <v>0</v>
      </c>
      <c r="N12" s="40">
        <f>F12-березень!F12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E13-березень!E13</f>
        <v>0</v>
      </c>
      <c r="N13" s="40">
        <f>F13-березень!F13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E14-березень!E14</f>
        <v>0</v>
      </c>
      <c r="N14" s="40">
        <f>F14-березень!F14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E15-березень!E15</f>
        <v>0</v>
      </c>
      <c r="N15" s="40">
        <f>F15-березень!F15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E16-березень!E16</f>
        <v>0</v>
      </c>
      <c r="N16" s="40">
        <f>F16-березень!F16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E17-березень!E17</f>
        <v>0</v>
      </c>
      <c r="N17" s="40">
        <f>F17-березень!F17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E18-березень!E18</f>
        <v>0</v>
      </c>
      <c r="N18" s="40">
        <f>F18-березень!F18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999.6</v>
      </c>
      <c r="F19" s="40">
        <v>552.92</v>
      </c>
      <c r="G19" s="49">
        <f t="shared" si="0"/>
        <v>-446.68000000000006</v>
      </c>
      <c r="H19" s="40">
        <f aca="true" t="shared" si="6" ref="H19:H29">F19/E19*100</f>
        <v>55.3141256502601</v>
      </c>
      <c r="I19" s="56">
        <f aca="true" t="shared" si="7" ref="I19:I29">F19-D19</f>
        <v>-447.08000000000004</v>
      </c>
      <c r="J19" s="56">
        <f aca="true" t="shared" si="8" ref="J19:J29">F19/D19*100</f>
        <v>55.291999999999994</v>
      </c>
      <c r="K19" s="56">
        <f>F19-4735.9</f>
        <v>-4182.98</v>
      </c>
      <c r="L19" s="135">
        <f>F19/4735.9</f>
        <v>0.11675077598766866</v>
      </c>
      <c r="M19" s="40">
        <f>E19-березень!E19</f>
        <v>-228.9999999999999</v>
      </c>
      <c r="N19" s="40">
        <f>F19-березень!F19</f>
        <v>-262.76</v>
      </c>
      <c r="O19" s="53">
        <f t="shared" si="3"/>
        <v>-33.760000000000105</v>
      </c>
      <c r="P19" s="56">
        <f aca="true" t="shared" si="9" ref="P19:P29">N19/M19*100</f>
        <v>114.74235807860266</v>
      </c>
      <c r="Q19" s="56">
        <f>N19-450.5</f>
        <v>-713.26</v>
      </c>
      <c r="R19" s="135">
        <f>N19/450.5</f>
        <v>-0.5832630410654828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E20-березень!E20</f>
        <v>0</v>
      </c>
      <c r="N20" s="40">
        <f>F20-березень!F20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E21-березень!E21</f>
        <v>0</v>
      </c>
      <c r="N21" s="40">
        <f>F21-березень!F21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E22-березень!E22</f>
        <v>0</v>
      </c>
      <c r="N22" s="40">
        <f>F22-березень!F22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E23-березень!E23</f>
        <v>0</v>
      </c>
      <c r="N23" s="40">
        <f>F23-березень!F23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E24-березень!E24</f>
        <v>0</v>
      </c>
      <c r="N24" s="40">
        <f>F24-березень!F24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E25-березень!E25</f>
        <v>0</v>
      </c>
      <c r="N25" s="40">
        <f>F25-березень!F25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E26-березень!E26</f>
        <v>0</v>
      </c>
      <c r="N26" s="40">
        <f>F26-березень!F26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E27-березень!E27</f>
        <v>0</v>
      </c>
      <c r="N27" s="40">
        <f>F27-березень!F27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E28-березень!E28</f>
        <v>0</v>
      </c>
      <c r="N28" s="40">
        <f>F28-березень!F28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739.6</v>
      </c>
      <c r="F29" s="146">
        <v>783.18</v>
      </c>
      <c r="G29" s="49">
        <f t="shared" si="0"/>
        <v>43.57999999999993</v>
      </c>
      <c r="H29" s="40">
        <f t="shared" si="6"/>
        <v>105.89237425635478</v>
      </c>
      <c r="I29" s="56">
        <f t="shared" si="7"/>
        <v>-146.82000000000005</v>
      </c>
      <c r="J29" s="56">
        <f t="shared" si="8"/>
        <v>84.21290322580644</v>
      </c>
      <c r="K29" s="148">
        <f>F29-1169.5</f>
        <v>-386.32000000000005</v>
      </c>
      <c r="L29" s="149">
        <f>F29/1169.5</f>
        <v>0.6696707994869602</v>
      </c>
      <c r="M29" s="40">
        <f>E29-березень!E29</f>
        <v>11</v>
      </c>
      <c r="N29" s="40">
        <f>F29-березень!F29</f>
        <v>32.01999999999998</v>
      </c>
      <c r="O29" s="148">
        <f t="shared" si="3"/>
        <v>21.019999999999982</v>
      </c>
      <c r="P29" s="145">
        <f t="shared" si="9"/>
        <v>291.09090909090895</v>
      </c>
      <c r="Q29" s="148">
        <f>N29-438.2</f>
        <v>-406.18</v>
      </c>
      <c r="R29" s="149">
        <f>N29/438.2</f>
        <v>0.07307165677772702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9.5</v>
      </c>
      <c r="F30" s="40">
        <v>2.91</v>
      </c>
      <c r="G30" s="49">
        <f t="shared" si="0"/>
        <v>-6.59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E30-березень!E30</f>
        <v>0.5</v>
      </c>
      <c r="N30" s="40">
        <f>F30-березень!F30</f>
        <v>0</v>
      </c>
      <c r="O30" s="53">
        <f t="shared" si="3"/>
        <v>-0.5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E31-березень!E31</f>
        <v>0</v>
      </c>
      <c r="N31" s="40">
        <f>F31-березень!F31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E32-березень!E32</f>
        <v>0</v>
      </c>
      <c r="N32" s="40">
        <f>F32-березень!F32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25270.59</v>
      </c>
      <c r="F33" s="40">
        <v>25917.42</v>
      </c>
      <c r="G33" s="49">
        <f aca="true" t="shared" si="14" ref="G33:G72">F33-E33</f>
        <v>646.8299999999981</v>
      </c>
      <c r="H33" s="40">
        <f aca="true" t="shared" si="15" ref="H33:H67">F33/E33*100</f>
        <v>102.55961574304358</v>
      </c>
      <c r="I33" s="56">
        <f>F33-D33</f>
        <v>-67648.58</v>
      </c>
      <c r="J33" s="56">
        <f aca="true" t="shared" si="16" ref="J33:J72">F33/D33*100</f>
        <v>27.69961310732531</v>
      </c>
      <c r="K33" s="141">
        <f>F33-26928.2</f>
        <v>-1010.7800000000025</v>
      </c>
      <c r="L33" s="142">
        <f>F33/26928.2</f>
        <v>0.9624638854435127</v>
      </c>
      <c r="M33" s="40">
        <f>E33-березень!E33</f>
        <v>6412.09</v>
      </c>
      <c r="N33" s="40">
        <f>F33-березень!F33</f>
        <v>6828.149999999998</v>
      </c>
      <c r="O33" s="53">
        <f t="shared" si="3"/>
        <v>416.0599999999977</v>
      </c>
      <c r="P33" s="56">
        <f aca="true" t="shared" si="17" ref="P33:P67">N33/M33*100</f>
        <v>106.48867997797906</v>
      </c>
      <c r="Q33" s="141">
        <f>N33-7165.5</f>
        <v>-337.3500000000022</v>
      </c>
      <c r="R33" s="142">
        <f>N33/7165.5</f>
        <v>0.9529202428302279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E34-березень!E34</f>
        <v>0</v>
      </c>
      <c r="N34" s="40">
        <f>F34-березень!F34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E35-березень!E35</f>
        <v>0</v>
      </c>
      <c r="N35" s="40">
        <f>F35-березень!F35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E36-березень!E36</f>
        <v>0</v>
      </c>
      <c r="N36" s="40">
        <f>F36-березень!F36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E37-березень!E37</f>
        <v>0</v>
      </c>
      <c r="N37" s="40">
        <f>F37-березень!F37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E38-березень!E38</f>
        <v>0</v>
      </c>
      <c r="N38" s="40">
        <f>F38-березень!F38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E39-березень!E39</f>
        <v>0</v>
      </c>
      <c r="N39" s="40">
        <f>F39-березень!F39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E40-березень!E40</f>
        <v>0</v>
      </c>
      <c r="N40" s="40">
        <f>F40-березень!F40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E41-березень!E41</f>
        <v>0</v>
      </c>
      <c r="N41" s="40">
        <f>F41-березень!F41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E42-березень!E42</f>
        <v>0</v>
      </c>
      <c r="N42" s="40">
        <f>F42-березень!F42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E43-березень!E43</f>
        <v>0</v>
      </c>
      <c r="N43" s="40">
        <f>F43-березень!F43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E44-березень!E44</f>
        <v>0</v>
      </c>
      <c r="N44" s="40">
        <f>F44-березень!F44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E45-березень!E45</f>
        <v>0</v>
      </c>
      <c r="N45" s="40">
        <f>F45-березень!F45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E46-березень!E46</f>
        <v>0</v>
      </c>
      <c r="N46" s="40">
        <f>F46-березень!F46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E47-березень!E47</f>
        <v>0</v>
      </c>
      <c r="N47" s="40">
        <f>F47-березень!F47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E48-березень!E48</f>
        <v>0</v>
      </c>
      <c r="N48" s="40">
        <f>F48-березень!F48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E49-березень!E49</f>
        <v>0</v>
      </c>
      <c r="N49" s="40">
        <f>F49-березень!F49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E50-березень!E50</f>
        <v>0</v>
      </c>
      <c r="N50" s="40">
        <f>F50-березень!F50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E51-березень!E51</f>
        <v>0</v>
      </c>
      <c r="N51" s="40">
        <f>F51-березень!F51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E52-березень!E52</f>
        <v>0</v>
      </c>
      <c r="N52" s="40">
        <f>F52-березень!F52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E53-березень!E53</f>
        <v>0</v>
      </c>
      <c r="N53" s="40">
        <f>F53-березень!F53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E54-березень!E54</f>
        <v>0</v>
      </c>
      <c r="N54" s="40">
        <f>F54-березень!F54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18810.29</v>
      </c>
      <c r="F55" s="146">
        <v>19395.4</v>
      </c>
      <c r="G55" s="144">
        <f t="shared" si="14"/>
        <v>585.1100000000006</v>
      </c>
      <c r="H55" s="146">
        <f t="shared" si="15"/>
        <v>103.11058468529725</v>
      </c>
      <c r="I55" s="145">
        <f t="shared" si="18"/>
        <v>-50870.6</v>
      </c>
      <c r="J55" s="145">
        <f t="shared" si="16"/>
        <v>27.602823556200722</v>
      </c>
      <c r="K55" s="148">
        <f>F55-19428.9</f>
        <v>-33.5</v>
      </c>
      <c r="L55" s="149">
        <f>F55/19428.9</f>
        <v>0.9982757644539835</v>
      </c>
      <c r="M55" s="40">
        <f>E55-березень!E55</f>
        <v>4792.090000000002</v>
      </c>
      <c r="N55" s="40">
        <f>F55-березень!F55</f>
        <v>5198.390000000001</v>
      </c>
      <c r="O55" s="148">
        <f t="shared" si="3"/>
        <v>406.2999999999993</v>
      </c>
      <c r="P55" s="148">
        <f t="shared" si="17"/>
        <v>108.47855528589821</v>
      </c>
      <c r="Q55" s="160">
        <f>N55-4813.7</f>
        <v>384.6900000000014</v>
      </c>
      <c r="R55" s="161">
        <f>N55/4813.7</f>
        <v>1.0799156573945201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2238.1</v>
      </c>
      <c r="F56" s="40">
        <v>2167.48</v>
      </c>
      <c r="G56" s="49">
        <f t="shared" si="14"/>
        <v>-70.61999999999989</v>
      </c>
      <c r="H56" s="40">
        <f t="shared" si="15"/>
        <v>96.8446450113936</v>
      </c>
      <c r="I56" s="56">
        <f t="shared" si="18"/>
        <v>-4692.52</v>
      </c>
      <c r="J56" s="56">
        <f t="shared" si="16"/>
        <v>31.595918367346936</v>
      </c>
      <c r="K56" s="56">
        <f>F56-2151.9</f>
        <v>15.579999999999927</v>
      </c>
      <c r="L56" s="135">
        <f>F56/2151.9</f>
        <v>1.0072401133881685</v>
      </c>
      <c r="M56" s="40">
        <f>E56-березень!E56</f>
        <v>553</v>
      </c>
      <c r="N56" s="40">
        <f>F56-березень!F56</f>
        <v>513.77</v>
      </c>
      <c r="O56" s="53">
        <f t="shared" si="3"/>
        <v>-39.23000000000002</v>
      </c>
      <c r="P56" s="56">
        <f t="shared" si="17"/>
        <v>92.90596745027125</v>
      </c>
      <c r="Q56" s="56">
        <f>N56-522.5</f>
        <v>-8.730000000000018</v>
      </c>
      <c r="R56" s="135">
        <f>N56/522.5</f>
        <v>0.9832918660287081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E57-березень!E57</f>
        <v>0</v>
      </c>
      <c r="N57" s="40">
        <f>F57-березень!F57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E58-березень!E58</f>
        <v>0</v>
      </c>
      <c r="N58" s="40">
        <f>F58-березень!F58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E59-березень!E59</f>
        <v>0</v>
      </c>
      <c r="N59" s="40">
        <f>F59-березень!F59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E60-березень!E60</f>
        <v>0</v>
      </c>
      <c r="N60" s="40">
        <f>F60-березень!F60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E61-березень!E61</f>
        <v>0</v>
      </c>
      <c r="N61" s="40">
        <f>F61-березень!F61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E62-березень!E62</f>
        <v>0</v>
      </c>
      <c r="N62" s="40">
        <f>F62-березень!F62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E63-березень!E63</f>
        <v>0</v>
      </c>
      <c r="N63" s="40">
        <f>F63-березень!F63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E64-березень!E64</f>
        <v>0</v>
      </c>
      <c r="N64" s="40">
        <f>F64-березень!F64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E65-березень!E65</f>
        <v>0</v>
      </c>
      <c r="N65" s="40">
        <f>F65-березень!F65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E66-березень!E66</f>
        <v>0</v>
      </c>
      <c r="N66" s="40">
        <f>F66-березень!F66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E67-березень!E67</f>
        <v>0</v>
      </c>
      <c r="N67" s="40">
        <f>F67-березень!F67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0.88</v>
      </c>
      <c r="G68" s="49">
        <f t="shared" si="14"/>
        <v>0.78</v>
      </c>
      <c r="H68" s="40"/>
      <c r="I68" s="56">
        <f t="shared" si="18"/>
        <v>0.78</v>
      </c>
      <c r="J68" s="56">
        <f t="shared" si="16"/>
        <v>879.9999999999999</v>
      </c>
      <c r="K68" s="56">
        <f>F68-0.3</f>
        <v>0.5800000000000001</v>
      </c>
      <c r="L68" s="135"/>
      <c r="M68" s="40">
        <f>E68-березень!E68</f>
        <v>0</v>
      </c>
      <c r="N68" s="40">
        <f>F68-березень!F68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>
        <f>N68/0.1</f>
        <v>0.5000000000000004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4447.5</v>
      </c>
      <c r="F74" s="22">
        <f>F77+F86+F88+F89+F94+F95+F96+F97+F99+F103+F87</f>
        <v>4186.320000000001</v>
      </c>
      <c r="G74" s="50">
        <f aca="true" t="shared" si="24" ref="G74:G92">F74-E74</f>
        <v>-261.1799999999994</v>
      </c>
      <c r="H74" s="51">
        <f aca="true" t="shared" si="25" ref="H74:H87">F74/E74*100</f>
        <v>94.1274873524452</v>
      </c>
      <c r="I74" s="36">
        <f aca="true" t="shared" si="26" ref="I74:I92">F74-D74</f>
        <v>-14171.98</v>
      </c>
      <c r="J74" s="36">
        <f aca="true" t="shared" si="27" ref="J74:J92">F74/D74*100</f>
        <v>22.80341861719223</v>
      </c>
      <c r="K74" s="36">
        <f>F74-5374.8</f>
        <v>-1188.4799999999996</v>
      </c>
      <c r="L74" s="136">
        <f>F74/5374.8</f>
        <v>0.7788792141102926</v>
      </c>
      <c r="M74" s="22">
        <f>M77+M86+M88+M89+M94+M95+M96+M97+M99+M87+M103</f>
        <v>1615.5</v>
      </c>
      <c r="N74" s="22">
        <f>N77+N86+N88+N89+N94+N95+N96+N97+N99+N32+N103+N87</f>
        <v>1066.77</v>
      </c>
      <c r="O74" s="55">
        <f aca="true" t="shared" si="28" ref="O74:O92">N74-M74</f>
        <v>-548.73</v>
      </c>
      <c r="P74" s="36">
        <f>N74/M74*100</f>
        <v>66.03342618384401</v>
      </c>
      <c r="Q74" s="36">
        <f>N74-1526</f>
        <v>-459.23</v>
      </c>
      <c r="R74" s="136">
        <f>N74/1526</f>
        <v>0.6990629095674967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10</v>
      </c>
      <c r="F77" s="57">
        <v>21.87</v>
      </c>
      <c r="G77" s="49">
        <f t="shared" si="24"/>
        <v>11.870000000000001</v>
      </c>
      <c r="H77" s="40">
        <f t="shared" si="25"/>
        <v>218.70000000000002</v>
      </c>
      <c r="I77" s="56">
        <f t="shared" si="26"/>
        <v>-478.13</v>
      </c>
      <c r="J77" s="56">
        <f t="shared" si="27"/>
        <v>4.3740000000000006</v>
      </c>
      <c r="K77" s="56">
        <f>F77-1342.2</f>
        <v>-1320.3300000000002</v>
      </c>
      <c r="L77" s="135">
        <f>F77/1342.2</f>
        <v>0.01629414394278051</v>
      </c>
      <c r="M77" s="40">
        <f>E77-березень!E77</f>
        <v>0</v>
      </c>
      <c r="N77" s="40">
        <f>F77-березень!F77</f>
        <v>-2.039999999999999</v>
      </c>
      <c r="O77" s="53">
        <f t="shared" si="28"/>
        <v>-2.039999999999999</v>
      </c>
      <c r="P77" s="56" t="e">
        <f aca="true" t="shared" si="29" ref="P77:P87">N77/M77*100</f>
        <v>#DIV/0!</v>
      </c>
      <c r="Q77" s="56">
        <f>N77-68.3</f>
        <v>-70.34</v>
      </c>
      <c r="R77" s="135">
        <f>N77/68.3</f>
        <v>-0.02986822840409955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E78-березень!E78</f>
        <v>0</v>
      </c>
      <c r="N78" s="40">
        <f>F78-березень!F78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E79-березень!E79</f>
        <v>0</v>
      </c>
      <c r="N79" s="40">
        <f>F79-березень!F79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E80-березень!E80</f>
        <v>0</v>
      </c>
      <c r="N80" s="40">
        <f>F80-березень!F80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E81-березень!E81</f>
        <v>0</v>
      </c>
      <c r="N81" s="40">
        <f>F81-березень!F81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E82-березень!E82</f>
        <v>0</v>
      </c>
      <c r="N82" s="40">
        <f>F82-березень!F82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E83-березень!E83</f>
        <v>0</v>
      </c>
      <c r="N83" s="40">
        <f>F83-березень!F83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E84-березень!E84</f>
        <v>0</v>
      </c>
      <c r="N84" s="40">
        <f>F84-березень!F84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E85-березень!E85</f>
        <v>0</v>
      </c>
      <c r="N85" s="40">
        <f>F85-березень!F85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250</v>
      </c>
      <c r="F86" s="57">
        <v>0</v>
      </c>
      <c r="G86" s="49">
        <f t="shared" si="24"/>
        <v>-250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F86-256.7</f>
        <v>-256.7</v>
      </c>
      <c r="L86" s="135">
        <f>F86/256.7</f>
        <v>0</v>
      </c>
      <c r="M86" s="40">
        <f>E86-березень!E86</f>
        <v>170</v>
      </c>
      <c r="N86" s="40">
        <f>F86-березень!F86</f>
        <v>0</v>
      </c>
      <c r="O86" s="53">
        <f t="shared" si="28"/>
        <v>-170</v>
      </c>
      <c r="P86" s="56">
        <f t="shared" si="29"/>
        <v>0</v>
      </c>
      <c r="Q86" s="56">
        <f>N86-173.8</f>
        <v>-173.8</v>
      </c>
      <c r="R86" s="135">
        <f>N86/173.8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212.16</v>
      </c>
      <c r="G87" s="49">
        <f t="shared" si="24"/>
        <v>-7.840000000000003</v>
      </c>
      <c r="H87" s="40">
        <f t="shared" si="25"/>
        <v>96.43636363636364</v>
      </c>
      <c r="I87" s="56">
        <f t="shared" si="26"/>
        <v>-287.84000000000003</v>
      </c>
      <c r="J87" s="56">
        <f t="shared" si="27"/>
        <v>42.431999999999995</v>
      </c>
      <c r="K87" s="56"/>
      <c r="L87" s="135"/>
      <c r="M87" s="40">
        <f>E87-березень!E87</f>
        <v>220</v>
      </c>
      <c r="N87" s="40">
        <f>F87-березень!F87</f>
        <v>0</v>
      </c>
      <c r="O87" s="53">
        <f t="shared" si="28"/>
        <v>-220</v>
      </c>
      <c r="P87" s="56">
        <f t="shared" si="29"/>
        <v>0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</v>
      </c>
      <c r="F88" s="57">
        <v>4.08</v>
      </c>
      <c r="G88" s="49">
        <f t="shared" si="24"/>
        <v>3.08</v>
      </c>
      <c r="H88" s="40">
        <f>F88/E88*100</f>
        <v>408</v>
      </c>
      <c r="I88" s="56">
        <f t="shared" si="26"/>
        <v>-1.0199999999999996</v>
      </c>
      <c r="J88" s="56">
        <f t="shared" si="27"/>
        <v>80</v>
      </c>
      <c r="K88" s="56">
        <f>F88-0.1</f>
        <v>3.98</v>
      </c>
      <c r="L88" s="135"/>
      <c r="M88" s="40">
        <f>E88-березень!E88</f>
        <v>0.5</v>
      </c>
      <c r="N88" s="40">
        <f>F88-березень!F88</f>
        <v>0.6800000000000002</v>
      </c>
      <c r="O88" s="53">
        <f t="shared" si="28"/>
        <v>0.18000000000000016</v>
      </c>
      <c r="P88" s="56">
        <f>N88/M88*100</f>
        <v>136.00000000000003</v>
      </c>
      <c r="Q88" s="56">
        <f>N88-0.1</f>
        <v>0.5800000000000002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54</v>
      </c>
      <c r="F89" s="57">
        <v>34.44</v>
      </c>
      <c r="G89" s="49">
        <f t="shared" si="24"/>
        <v>-19.560000000000002</v>
      </c>
      <c r="H89" s="40">
        <f>F89/E89*100</f>
        <v>63.77777777777778</v>
      </c>
      <c r="I89" s="56">
        <f t="shared" si="26"/>
        <v>-140.56</v>
      </c>
      <c r="J89" s="56">
        <f t="shared" si="27"/>
        <v>19.679999999999996</v>
      </c>
      <c r="K89" s="56">
        <f>F89-66.3</f>
        <v>-31.86</v>
      </c>
      <c r="L89" s="135">
        <f>F89/66.3</f>
        <v>0.5194570135746607</v>
      </c>
      <c r="M89" s="40">
        <f>E89-березень!E89</f>
        <v>15</v>
      </c>
      <c r="N89" s="40">
        <f>F89-березень!F89</f>
        <v>7.669999999999998</v>
      </c>
      <c r="O89" s="53">
        <f t="shared" si="28"/>
        <v>-7.330000000000002</v>
      </c>
      <c r="P89" s="56">
        <f>N89/M89*100</f>
        <v>51.13333333333332</v>
      </c>
      <c r="Q89" s="56">
        <f>N89-18.8</f>
        <v>-11.130000000000003</v>
      </c>
      <c r="R89" s="135">
        <f>N89/18.8</f>
        <v>0.40797872340425523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E90-березень!E90</f>
        <v>0</v>
      </c>
      <c r="N90" s="40">
        <f>F90-березень!F90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E91-березень!E91</f>
        <v>0</v>
      </c>
      <c r="N91" s="40">
        <f>F91-березень!F91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E92-березень!E92</f>
        <v>0</v>
      </c>
      <c r="N92" s="40">
        <f>F92-березень!F92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E93-березень!E93</f>
        <v>0</v>
      </c>
      <c r="N93" s="40">
        <f>F93-березень!F93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E94-березень!E94</f>
        <v>0</v>
      </c>
      <c r="N94" s="40">
        <f>F94-березень!F94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2381.5</v>
      </c>
      <c r="F95" s="57">
        <v>2382.53</v>
      </c>
      <c r="G95" s="49">
        <f t="shared" si="31"/>
        <v>1.0300000000002</v>
      </c>
      <c r="H95" s="40">
        <f>F95/E95*100</f>
        <v>100.04325005248793</v>
      </c>
      <c r="I95" s="56">
        <f t="shared" si="32"/>
        <v>-4617.469999999999</v>
      </c>
      <c r="J95" s="56">
        <f>F95/D95*100</f>
        <v>34.036142857142856</v>
      </c>
      <c r="K95" s="56">
        <f>F95-2269.2</f>
        <v>113.33000000000038</v>
      </c>
      <c r="L95" s="135">
        <f>F95/2269.2</f>
        <v>1.049942711087608</v>
      </c>
      <c r="M95" s="40">
        <f>E95-березень!E95</f>
        <v>705</v>
      </c>
      <c r="N95" s="40">
        <f>F95-березень!F95</f>
        <v>655.1300000000001</v>
      </c>
      <c r="O95" s="53">
        <f t="shared" si="33"/>
        <v>-49.86999999999989</v>
      </c>
      <c r="P95" s="56">
        <f>N95/M95*100</f>
        <v>92.92624113475179</v>
      </c>
      <c r="Q95" s="56">
        <f>N95-790.5</f>
        <v>-135.3699999999999</v>
      </c>
      <c r="R95" s="135">
        <f>N95/790.5</f>
        <v>0.828753953194181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294.5</v>
      </c>
      <c r="F96" s="57">
        <v>279.59</v>
      </c>
      <c r="G96" s="49">
        <f t="shared" si="31"/>
        <v>-14.910000000000025</v>
      </c>
      <c r="H96" s="40">
        <f>F96/E96*100</f>
        <v>94.937181663837</v>
      </c>
      <c r="I96" s="56">
        <f t="shared" si="32"/>
        <v>-920.4100000000001</v>
      </c>
      <c r="J96" s="56">
        <f>F96/D96*100</f>
        <v>23.299166666666665</v>
      </c>
      <c r="K96" s="56">
        <f>F96-305.5</f>
        <v>-25.910000000000025</v>
      </c>
      <c r="L96" s="135">
        <f>F96/305.5</f>
        <v>0.9151882160392798</v>
      </c>
      <c r="M96" s="40">
        <f>E96-березень!E96</f>
        <v>70</v>
      </c>
      <c r="N96" s="40">
        <f>F96-березень!F96</f>
        <v>80.71999999999997</v>
      </c>
      <c r="O96" s="53">
        <f t="shared" si="33"/>
        <v>10.71999999999997</v>
      </c>
      <c r="P96" s="56">
        <f>N96/M96*100</f>
        <v>115.31428571428567</v>
      </c>
      <c r="Q96" s="56">
        <f>N96-144</f>
        <v>-63.28000000000003</v>
      </c>
      <c r="R96" s="135">
        <f>N96/144</f>
        <v>0.5605555555555554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E97-березень!E97</f>
        <v>0</v>
      </c>
      <c r="N97" s="40">
        <f>F97-березень!F97</f>
        <v>0</v>
      </c>
      <c r="O97" s="53">
        <f t="shared" si="33"/>
        <v>0</v>
      </c>
      <c r="P97" s="56"/>
      <c r="Q97" s="56">
        <f>N97-15</f>
        <v>-15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E98-березень!E98</f>
        <v>0</v>
      </c>
      <c r="N98" s="40">
        <f>F98-березень!F98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1177</v>
      </c>
      <c r="F99" s="57">
        <v>1238.46</v>
      </c>
      <c r="G99" s="49">
        <f t="shared" si="31"/>
        <v>61.460000000000036</v>
      </c>
      <c r="H99" s="40">
        <f>F99/E99*100</f>
        <v>105.22175021240443</v>
      </c>
      <c r="I99" s="56">
        <f t="shared" si="32"/>
        <v>-3334.24</v>
      </c>
      <c r="J99" s="56">
        <f>F99/D99*100</f>
        <v>27.083779823736524</v>
      </c>
      <c r="K99" s="56">
        <f>F99-994.9</f>
        <v>243.56000000000006</v>
      </c>
      <c r="L99" s="135">
        <f>F99/994.9</f>
        <v>1.2448085234696955</v>
      </c>
      <c r="M99" s="40">
        <f>E99-березень!E99</f>
        <v>400</v>
      </c>
      <c r="N99" s="40">
        <f>F99-березень!F99</f>
        <v>324.61</v>
      </c>
      <c r="O99" s="53">
        <f t="shared" si="33"/>
        <v>-75.38999999999999</v>
      </c>
      <c r="P99" s="56">
        <f>N99/M99*100</f>
        <v>81.1525</v>
      </c>
      <c r="Q99" s="56">
        <f>N99-264.3</f>
        <v>60.31</v>
      </c>
      <c r="R99" s="135">
        <f>N99/264.3</f>
        <v>1.2281876655315929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E100-березень!E100</f>
        <v>0</v>
      </c>
      <c r="N100" s="40">
        <f>F100-березень!F100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E101-березень!E101</f>
        <v>0</v>
      </c>
      <c r="N101" s="40">
        <f>F101-березень!F101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234.65</v>
      </c>
      <c r="G102" s="144"/>
      <c r="H102" s="146"/>
      <c r="I102" s="145"/>
      <c r="J102" s="145"/>
      <c r="K102" s="148">
        <f>F102-139.6</f>
        <v>95.05000000000001</v>
      </c>
      <c r="L102" s="149">
        <f>F102/139.6</f>
        <v>1.6808739255014327</v>
      </c>
      <c r="M102" s="40">
        <f>E102-березень!E102</f>
        <v>0</v>
      </c>
      <c r="N102" s="40">
        <f>F102-березень!F102</f>
        <v>62.08000000000001</v>
      </c>
      <c r="O102" s="53"/>
      <c r="P102" s="60"/>
      <c r="Q102" s="60">
        <f>N102-51</f>
        <v>11.080000000000013</v>
      </c>
      <c r="R102" s="138">
        <f>N102/51</f>
        <v>1.2172549019607846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13.19</v>
      </c>
      <c r="G103" s="49">
        <f>F103-E103</f>
        <v>-46.31</v>
      </c>
      <c r="H103" s="40">
        <f>F103/E103*100</f>
        <v>22.168067226890756</v>
      </c>
      <c r="I103" s="56">
        <f aca="true" t="shared" si="34" ref="I103:I110">F103-D103</f>
        <v>-52.31</v>
      </c>
      <c r="J103" s="56">
        <f>F104-D103</f>
        <v>-56.49</v>
      </c>
      <c r="K103" s="56">
        <f>F103-59.1</f>
        <v>-45.910000000000004</v>
      </c>
      <c r="L103" s="135">
        <f>F103/59.1</f>
        <v>0.22318104906937392</v>
      </c>
      <c r="M103" s="40">
        <f>E103-березень!E103</f>
        <v>35</v>
      </c>
      <c r="N103" s="40">
        <f>F103-березень!F103</f>
        <v>0</v>
      </c>
      <c r="O103" s="53">
        <f aca="true" t="shared" si="35" ref="O103:O109">N103-M103</f>
        <v>-35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9.2</v>
      </c>
      <c r="F104" s="57">
        <v>9.01</v>
      </c>
      <c r="G104" s="49">
        <f>F104-E104</f>
        <v>-0.1899999999999995</v>
      </c>
      <c r="H104" s="40">
        <f>F104/E104*100</f>
        <v>97.93478260869566</v>
      </c>
      <c r="I104" s="56">
        <f t="shared" si="34"/>
        <v>-35.99</v>
      </c>
      <c r="J104" s="56">
        <f aca="true" t="shared" si="36" ref="J104:J109">F104/D104*100</f>
        <v>20.022222222222222</v>
      </c>
      <c r="K104" s="56">
        <f>F104-12.1</f>
        <v>-3.09</v>
      </c>
      <c r="L104" s="135">
        <f>F104/12.1</f>
        <v>0.7446280991735538</v>
      </c>
      <c r="M104" s="40">
        <f>E104-березень!E104</f>
        <v>2.999999999999999</v>
      </c>
      <c r="N104" s="40">
        <f>F104-березень!F104</f>
        <v>3.0999999999999996</v>
      </c>
      <c r="O104" s="53">
        <f t="shared" si="35"/>
        <v>0.10000000000000053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E105-березень!E105</f>
        <v>0</v>
      </c>
      <c r="N105" s="40">
        <f>F105-березень!F105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158677.79000000004</v>
      </c>
      <c r="F106" s="22">
        <f>F8+F74+F104+F105</f>
        <v>149957.13000000003</v>
      </c>
      <c r="G106" s="50">
        <f>F106-E106</f>
        <v>-8720.660000000003</v>
      </c>
      <c r="H106" s="51">
        <f>F106/E106*100</f>
        <v>94.5041709996087</v>
      </c>
      <c r="I106" s="36">
        <f t="shared" si="34"/>
        <v>-356922.47</v>
      </c>
      <c r="J106" s="36">
        <f t="shared" si="36"/>
        <v>29.58436875344757</v>
      </c>
      <c r="K106" s="36">
        <f>F106-156502.1</f>
        <v>-6544.969999999972</v>
      </c>
      <c r="L106" s="136">
        <f>F106/156502.1</f>
        <v>0.9581796665987231</v>
      </c>
      <c r="M106" s="22">
        <f>M8+M74+M104+M105</f>
        <v>40601.68999999999</v>
      </c>
      <c r="N106" s="22">
        <f>N8+N74+N104+N105</f>
        <v>39222.61999999999</v>
      </c>
      <c r="O106" s="55">
        <f t="shared" si="35"/>
        <v>-1379.0699999999997</v>
      </c>
      <c r="P106" s="36">
        <f>N106/M106*100</f>
        <v>96.60341724691756</v>
      </c>
      <c r="Q106" s="36">
        <f>N106-41720.7</f>
        <v>-2498.080000000009</v>
      </c>
      <c r="R106" s="136">
        <f>N106/41720.7</f>
        <v>0.9401237275501128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125997.7</v>
      </c>
      <c r="F107" s="71">
        <f>F10-F18+F96</f>
        <v>117399.73999999999</v>
      </c>
      <c r="G107" s="71">
        <f>G10-G18+G96</f>
        <v>-8597.960000000003</v>
      </c>
      <c r="H107" s="72">
        <f>F107/E107*100</f>
        <v>93.17609765892551</v>
      </c>
      <c r="I107" s="52">
        <f t="shared" si="34"/>
        <v>-270813.46</v>
      </c>
      <c r="J107" s="52">
        <f t="shared" si="36"/>
        <v>30.241047960244522</v>
      </c>
      <c r="K107" s="52">
        <f>F107-117642.3</f>
        <v>-242.56000000001222</v>
      </c>
      <c r="L107" s="137">
        <f>F107/117642.3</f>
        <v>0.9979381565984343</v>
      </c>
      <c r="M107" s="71">
        <f>M10-M18+M96</f>
        <v>32316.59999999999</v>
      </c>
      <c r="N107" s="71">
        <f>N10-N18+N96</f>
        <v>31154.259999999995</v>
      </c>
      <c r="O107" s="53">
        <f t="shared" si="35"/>
        <v>-1162.3399999999965</v>
      </c>
      <c r="P107" s="52">
        <f>N107/M107*100</f>
        <v>96.40327262150103</v>
      </c>
      <c r="Q107" s="52">
        <f>N107-32216.7</f>
        <v>-1062.440000000006</v>
      </c>
      <c r="R107" s="137">
        <f>N107/32216.7</f>
        <v>0.9670220724034427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32680.09000000004</v>
      </c>
      <c r="F108" s="71">
        <f>F106-F107</f>
        <v>32557.390000000043</v>
      </c>
      <c r="G108" s="62">
        <f>F108-E108</f>
        <v>-122.69999999999709</v>
      </c>
      <c r="H108" s="72">
        <f>F108/E108*100</f>
        <v>99.62454203767493</v>
      </c>
      <c r="I108" s="52">
        <f t="shared" si="34"/>
        <v>-86109.00999999992</v>
      </c>
      <c r="J108" s="52">
        <f t="shared" si="36"/>
        <v>27.436064463066252</v>
      </c>
      <c r="K108" s="52">
        <f>F108-38859.8</f>
        <v>-6302.40999999996</v>
      </c>
      <c r="L108" s="137">
        <f>F108/38859.8</f>
        <v>0.8378167154746046</v>
      </c>
      <c r="M108" s="71">
        <f>M106-M107</f>
        <v>8285.089999999997</v>
      </c>
      <c r="N108" s="71">
        <f>N106-N107</f>
        <v>8068.359999999993</v>
      </c>
      <c r="O108" s="53">
        <f t="shared" si="35"/>
        <v>-216.7300000000032</v>
      </c>
      <c r="P108" s="52">
        <f>N108/M108*100</f>
        <v>97.38409600861301</v>
      </c>
      <c r="Q108" s="52">
        <f>N108-9504</f>
        <v>-1435.6400000000067</v>
      </c>
      <c r="R108" s="137">
        <f>N108/9504</f>
        <v>0.848943602693602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120627.8</v>
      </c>
      <c r="F109" s="71">
        <f>F107</f>
        <v>117399.73999999999</v>
      </c>
      <c r="G109" s="111">
        <f>F109-E109</f>
        <v>-3228.060000000012</v>
      </c>
      <c r="H109" s="72">
        <f>F109/E109*100</f>
        <v>97.3239502005342</v>
      </c>
      <c r="I109" s="81">
        <f t="shared" si="34"/>
        <v>-270813.46</v>
      </c>
      <c r="J109" s="52">
        <f t="shared" si="36"/>
        <v>30.241047960244522</v>
      </c>
      <c r="K109" s="52"/>
      <c r="L109" s="137"/>
      <c r="M109" s="72">
        <f>E109-березень!E109</f>
        <v>32316.600000000006</v>
      </c>
      <c r="N109" s="71">
        <f>N107</f>
        <v>31154.259999999995</v>
      </c>
      <c r="O109" s="118">
        <f t="shared" si="35"/>
        <v>-1162.340000000011</v>
      </c>
      <c r="P109" s="52">
        <f>N109/M109*100</f>
        <v>96.40327262150099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223</v>
      </c>
      <c r="C111" s="93"/>
      <c r="D111" s="84"/>
      <c r="E111" s="111">
        <f>0-березень!G109</f>
        <v>2065.720000000001</v>
      </c>
      <c r="F111" s="84">
        <v>0</v>
      </c>
      <c r="G111" s="62">
        <f>F111-E111</f>
        <v>-2065.720000000001</v>
      </c>
      <c r="H111" s="72"/>
      <c r="I111" s="85"/>
      <c r="J111" s="52"/>
      <c r="K111" s="52"/>
      <c r="L111" s="137"/>
      <c r="M111" s="159">
        <f>E111</f>
        <v>2065.720000000001</v>
      </c>
      <c r="N111" s="84">
        <v>0</v>
      </c>
      <c r="O111" s="118">
        <f>N111-M111</f>
        <v>-2065.720000000001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-0.95</v>
      </c>
      <c r="G113" s="49">
        <f aca="true" t="shared" si="37" ref="G113:G125">F113-E113</f>
        <v>-0.95</v>
      </c>
      <c r="H113" s="40"/>
      <c r="I113" s="60">
        <f aca="true" t="shared" si="38" ref="I113:I124">F113-D113</f>
        <v>-0.95</v>
      </c>
      <c r="J113" s="60"/>
      <c r="K113" s="60">
        <f>F113-6.7</f>
        <v>-7.65</v>
      </c>
      <c r="L113" s="138">
        <f>F113/6.7</f>
        <v>-0.1417910447761194</v>
      </c>
      <c r="M113" s="40">
        <f>E113-березень!E113</f>
        <v>0</v>
      </c>
      <c r="N113" s="40">
        <f>F113-березень!F113</f>
        <v>1.93</v>
      </c>
      <c r="O113" s="53"/>
      <c r="P113" s="60"/>
      <c r="Q113" s="60">
        <f>N113-2.1</f>
        <v>-0.17000000000000015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1042.1</v>
      </c>
      <c r="F114" s="32">
        <v>374.99</v>
      </c>
      <c r="G114" s="49">
        <f t="shared" si="37"/>
        <v>-667.1099999999999</v>
      </c>
      <c r="H114" s="40">
        <f aca="true" t="shared" si="39" ref="H114:H125">F114/E114*100</f>
        <v>35.98407062661933</v>
      </c>
      <c r="I114" s="60">
        <f t="shared" si="38"/>
        <v>-3296.51</v>
      </c>
      <c r="J114" s="60">
        <f aca="true" t="shared" si="40" ref="J114:J120">F114/D114*100</f>
        <v>10.213536701620592</v>
      </c>
      <c r="K114" s="60">
        <f>F114-1203.2</f>
        <v>-828.21</v>
      </c>
      <c r="L114" s="138">
        <f>F114/1203.2</f>
        <v>0.31166057180851064</v>
      </c>
      <c r="M114" s="40">
        <f>E114-березень!E114</f>
        <v>327.4999999999999</v>
      </c>
      <c r="N114" s="40">
        <f>F114-березень!F114</f>
        <v>91.34000000000003</v>
      </c>
      <c r="O114" s="53">
        <f aca="true" t="shared" si="41" ref="O114:O125">N114-M114</f>
        <v>-236.15999999999985</v>
      </c>
      <c r="P114" s="60">
        <f>N114/M114*100</f>
        <v>27.890076335877882</v>
      </c>
      <c r="Q114" s="60">
        <f>N114-368.9</f>
        <v>-277.55999999999995</v>
      </c>
      <c r="R114" s="138">
        <f>N114/368.9</f>
        <v>0.24760097587422075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90.5</v>
      </c>
      <c r="F115" s="32">
        <v>96.53</v>
      </c>
      <c r="G115" s="49">
        <f t="shared" si="37"/>
        <v>6.030000000000001</v>
      </c>
      <c r="H115" s="40">
        <f t="shared" si="39"/>
        <v>106.66298342541435</v>
      </c>
      <c r="I115" s="60">
        <f t="shared" si="38"/>
        <v>-171.57000000000002</v>
      </c>
      <c r="J115" s="60">
        <f t="shared" si="40"/>
        <v>36.00522193211488</v>
      </c>
      <c r="K115" s="60">
        <f>F115-84.2</f>
        <v>12.329999999999998</v>
      </c>
      <c r="L115" s="138">
        <f>F115/84.2</f>
        <v>1.146437054631829</v>
      </c>
      <c r="M115" s="40">
        <f>E115-березень!E115</f>
        <v>22</v>
      </c>
      <c r="N115" s="40">
        <f>F115-березень!F115</f>
        <v>25.840000000000003</v>
      </c>
      <c r="O115" s="53">
        <f t="shared" si="41"/>
        <v>3.8400000000000034</v>
      </c>
      <c r="P115" s="60">
        <f>N115/M115*100</f>
        <v>117.45454545454548</v>
      </c>
      <c r="Q115" s="60">
        <f>N115-20.8</f>
        <v>5.040000000000003</v>
      </c>
      <c r="R115" s="138">
        <f>N115/20.8</f>
        <v>1.2423076923076923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1132.6</v>
      </c>
      <c r="F116" s="38">
        <f>SUM(F113:F115)</f>
        <v>470.57000000000005</v>
      </c>
      <c r="G116" s="62">
        <f t="shared" si="37"/>
        <v>-662.0299999999999</v>
      </c>
      <c r="H116" s="72">
        <f t="shared" si="39"/>
        <v>41.54776620165991</v>
      </c>
      <c r="I116" s="61">
        <f t="shared" si="38"/>
        <v>-3469.0299999999997</v>
      </c>
      <c r="J116" s="61">
        <f t="shared" si="40"/>
        <v>11.94461366636207</v>
      </c>
      <c r="K116" s="61">
        <f>F116-1294.2</f>
        <v>-823.63</v>
      </c>
      <c r="L116" s="139">
        <f>F116/1294.2</f>
        <v>0.36359913460052545</v>
      </c>
      <c r="M116" s="62">
        <f>M114+M115+M113</f>
        <v>349.4999999999999</v>
      </c>
      <c r="N116" s="38">
        <f>SUM(N113:N115)</f>
        <v>119.11000000000004</v>
      </c>
      <c r="O116" s="61">
        <f t="shared" si="41"/>
        <v>-230.38999999999984</v>
      </c>
      <c r="P116" s="61">
        <f>N116/M116*100</f>
        <v>34.080114449213184</v>
      </c>
      <c r="Q116" s="61">
        <f>N116-391.8</f>
        <v>-272.68999999999994</v>
      </c>
      <c r="R116" s="139">
        <f>N116/391.8</f>
        <v>0.3040071465033181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127.86</v>
      </c>
      <c r="G118" s="49">
        <f t="shared" si="37"/>
        <v>21.36</v>
      </c>
      <c r="H118" s="40">
        <f t="shared" si="39"/>
        <v>120.05633802816902</v>
      </c>
      <c r="I118" s="60">
        <f t="shared" si="38"/>
        <v>-139.33999999999997</v>
      </c>
      <c r="J118" s="60">
        <f t="shared" si="40"/>
        <v>47.85179640718563</v>
      </c>
      <c r="K118" s="60">
        <f>F118-88.4</f>
        <v>39.459999999999994</v>
      </c>
      <c r="L118" s="138">
        <f>F118/88.4</f>
        <v>1.4463800904977375</v>
      </c>
      <c r="M118" s="40">
        <f>E118-березень!E118</f>
        <v>106.5</v>
      </c>
      <c r="N118" s="40">
        <f>F118-березень!F118</f>
        <v>26.39</v>
      </c>
      <c r="O118" s="53">
        <f>N118-M118</f>
        <v>-80.11</v>
      </c>
      <c r="P118" s="60">
        <f>N118/M118*100</f>
        <v>24.779342723004696</v>
      </c>
      <c r="Q118" s="60">
        <f>N118-80.7</f>
        <v>-54.31</v>
      </c>
      <c r="R118" s="138">
        <f>N118/80.7</f>
        <v>0.32701363073110284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25112.6</v>
      </c>
      <c r="F119" s="33">
        <v>26561.84</v>
      </c>
      <c r="G119" s="49">
        <f t="shared" si="37"/>
        <v>1449.2400000000016</v>
      </c>
      <c r="H119" s="40">
        <f t="shared" si="39"/>
        <v>105.77096756210031</v>
      </c>
      <c r="I119" s="53">
        <f t="shared" si="38"/>
        <v>-45414.15000000001</v>
      </c>
      <c r="J119" s="60">
        <f t="shared" si="40"/>
        <v>36.9037508202388</v>
      </c>
      <c r="K119" s="60">
        <f>F119-23645.2</f>
        <v>2916.6399999999994</v>
      </c>
      <c r="L119" s="138">
        <f>F119/23645.2</f>
        <v>1.123350193696818</v>
      </c>
      <c r="M119" s="40">
        <f>E119-березень!E119</f>
        <v>6500</v>
      </c>
      <c r="N119" s="40">
        <f>F119-березень!F119</f>
        <v>6866.799999999999</v>
      </c>
      <c r="O119" s="53">
        <f t="shared" si="41"/>
        <v>366.7999999999993</v>
      </c>
      <c r="P119" s="60">
        <f aca="true" t="shared" si="42" ref="P119:P124">N119/M119*100</f>
        <v>105.6430769230769</v>
      </c>
      <c r="Q119" s="60">
        <f>N119-6401.1</f>
        <v>465.6999999999989</v>
      </c>
      <c r="R119" s="138">
        <f>N119/6401.1</f>
        <v>1.0727531205574041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1441</v>
      </c>
      <c r="F120" s="33">
        <v>1435</v>
      </c>
      <c r="G120" s="49">
        <f t="shared" si="37"/>
        <v>-6</v>
      </c>
      <c r="H120" s="40">
        <f t="shared" si="39"/>
        <v>99.58362248438584</v>
      </c>
      <c r="I120" s="60">
        <f t="shared" si="38"/>
        <v>-8565</v>
      </c>
      <c r="J120" s="60">
        <f t="shared" si="40"/>
        <v>14.35</v>
      </c>
      <c r="K120" s="60">
        <f>F120-436.1</f>
        <v>998.9</v>
      </c>
      <c r="L120" s="138">
        <f>F120/436.1</f>
        <v>3.2905296950240768</v>
      </c>
      <c r="M120" s="40">
        <f>E120-березень!E120</f>
        <v>1441</v>
      </c>
      <c r="N120" s="40">
        <f>F120-березень!F120</f>
        <v>916.37</v>
      </c>
      <c r="O120" s="53">
        <f t="shared" si="41"/>
        <v>-524.63</v>
      </c>
      <c r="P120" s="60">
        <f t="shared" si="42"/>
        <v>63.59264399722415</v>
      </c>
      <c r="Q120" s="60">
        <f>N120-155.6</f>
        <v>760.77</v>
      </c>
      <c r="R120" s="138">
        <f>N120/155.6</f>
        <v>5.88926735218509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1480</v>
      </c>
      <c r="F121" s="33">
        <v>1487.49</v>
      </c>
      <c r="G121" s="49">
        <f t="shared" si="37"/>
        <v>7.490000000000009</v>
      </c>
      <c r="H121" s="40">
        <f t="shared" si="39"/>
        <v>100.50608108108108</v>
      </c>
      <c r="I121" s="60">
        <f t="shared" si="38"/>
        <v>-21590.51</v>
      </c>
      <c r="J121" s="60">
        <f>F121/D121*100</f>
        <v>6.445489210503511</v>
      </c>
      <c r="K121" s="60">
        <f>F121-7276</f>
        <v>-5788.51</v>
      </c>
      <c r="L121" s="138">
        <f>F121/7276</f>
        <v>0.2044378779549203</v>
      </c>
      <c r="M121" s="40">
        <f>E121-березень!E121</f>
        <v>1480</v>
      </c>
      <c r="N121" s="40">
        <f>F121-березень!F121</f>
        <v>343.53</v>
      </c>
      <c r="O121" s="53">
        <f t="shared" si="41"/>
        <v>-1136.47</v>
      </c>
      <c r="P121" s="60">
        <f t="shared" si="42"/>
        <v>23.211486486486486</v>
      </c>
      <c r="Q121" s="60">
        <f>N121-282.5</f>
        <v>61.02999999999997</v>
      </c>
      <c r="R121" s="138">
        <f>N121/282.5</f>
        <v>1.2160353982300884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483.27</v>
      </c>
      <c r="F122" s="33">
        <v>577.27</v>
      </c>
      <c r="G122" s="49">
        <f t="shared" si="37"/>
        <v>94</v>
      </c>
      <c r="H122" s="40">
        <f t="shared" si="39"/>
        <v>119.45082459080845</v>
      </c>
      <c r="I122" s="60">
        <f t="shared" si="38"/>
        <v>-1422.73</v>
      </c>
      <c r="J122" s="60">
        <f>F122/D122*100</f>
        <v>28.8635</v>
      </c>
      <c r="K122" s="60">
        <f>F122-1170.5</f>
        <v>-593.23</v>
      </c>
      <c r="L122" s="138">
        <f>F122/1170.5</f>
        <v>0.4931824006834686</v>
      </c>
      <c r="M122" s="40">
        <f>E122-березень!E122</f>
        <v>483.27</v>
      </c>
      <c r="N122" s="40">
        <f>F122-березень!F122</f>
        <v>113.34999999999997</v>
      </c>
      <c r="O122" s="53">
        <f t="shared" si="41"/>
        <v>-369.92</v>
      </c>
      <c r="P122" s="60">
        <f t="shared" si="42"/>
        <v>23.45479752519295</v>
      </c>
      <c r="Q122" s="60">
        <f>N122-856</f>
        <v>-742.6500000000001</v>
      </c>
      <c r="R122" s="138">
        <f>N122/865</f>
        <v>0.1310404624277456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28623.37</v>
      </c>
      <c r="F123" s="38">
        <f>F119+F120+F121+F122+F118</f>
        <v>30189.460000000003</v>
      </c>
      <c r="G123" s="62">
        <f t="shared" si="37"/>
        <v>1566.0900000000038</v>
      </c>
      <c r="H123" s="72">
        <f t="shared" si="39"/>
        <v>105.47136832595186</v>
      </c>
      <c r="I123" s="61">
        <f t="shared" si="38"/>
        <v>-77131.73</v>
      </c>
      <c r="J123" s="61">
        <f>F123/D123*100</f>
        <v>28.130008621782892</v>
      </c>
      <c r="K123" s="61">
        <f>F123-32616.1</f>
        <v>-2426.639999999996</v>
      </c>
      <c r="L123" s="139">
        <f>F123/32616.1</f>
        <v>0.9255999337750376</v>
      </c>
      <c r="M123" s="62">
        <f>M119+M120+M121+M122+M118</f>
        <v>10010.77</v>
      </c>
      <c r="N123" s="62">
        <f>N119+N120+N121+N122+N118</f>
        <v>8266.439999999999</v>
      </c>
      <c r="O123" s="61">
        <f t="shared" si="41"/>
        <v>-1744.3300000000017</v>
      </c>
      <c r="P123" s="61">
        <f t="shared" si="42"/>
        <v>82.57546622287795</v>
      </c>
      <c r="Q123" s="61">
        <f>N123-7775.9</f>
        <v>490.53999999999905</v>
      </c>
      <c r="R123" s="139">
        <f>N123/7775.9</f>
        <v>1.0630846590105325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11.16</v>
      </c>
      <c r="F124" s="33">
        <v>9.65</v>
      </c>
      <c r="G124" s="49">
        <f t="shared" si="37"/>
        <v>-1.5099999999999998</v>
      </c>
      <c r="H124" s="40">
        <f t="shared" si="39"/>
        <v>86.4695340501792</v>
      </c>
      <c r="I124" s="60">
        <f t="shared" si="38"/>
        <v>-33.85</v>
      </c>
      <c r="J124" s="60">
        <f>F124/D124*100</f>
        <v>22.183908045977013</v>
      </c>
      <c r="K124" s="60">
        <f>F124-97.8</f>
        <v>-88.14999999999999</v>
      </c>
      <c r="L124" s="138">
        <f>F124/97.8</f>
        <v>0.09867075664621677</v>
      </c>
      <c r="M124" s="40">
        <f>E124-березень!E124</f>
        <v>3</v>
      </c>
      <c r="N124" s="40">
        <f>F124-березень!F124</f>
        <v>5.29</v>
      </c>
      <c r="O124" s="53">
        <f t="shared" si="41"/>
        <v>2.29</v>
      </c>
      <c r="P124" s="60">
        <f t="shared" si="42"/>
        <v>176.33333333333334</v>
      </c>
      <c r="Q124" s="60">
        <f>N124-0.8</f>
        <v>4.49</v>
      </c>
      <c r="R124" s="138">
        <f>N124/0.8</f>
        <v>6.6125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E125-березень!E125</f>
        <v>0</v>
      </c>
      <c r="N125" s="40">
        <f>F125-березень!F125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E126-березень!E126</f>
        <v>0</v>
      </c>
      <c r="N126" s="40">
        <f>F126-березень!F126</f>
        <v>9.000000000000002</v>
      </c>
      <c r="O126" s="53"/>
      <c r="P126" s="63"/>
      <c r="Q126" s="63">
        <f>N126-0</f>
        <v>9.000000000000002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2509.5</v>
      </c>
      <c r="F127" s="33">
        <v>2618.43</v>
      </c>
      <c r="G127" s="49">
        <f aca="true" t="shared" si="43" ref="G127:G134">F127-E127</f>
        <v>108.92999999999984</v>
      </c>
      <c r="H127" s="40">
        <f>F127/E127*100</f>
        <v>104.3407053197848</v>
      </c>
      <c r="I127" s="60">
        <f aca="true" t="shared" si="44" ref="I127:I134">F127-D127</f>
        <v>-6081.57</v>
      </c>
      <c r="J127" s="60">
        <f>F127/D127*100</f>
        <v>30.096896551724132</v>
      </c>
      <c r="K127" s="60">
        <f>F127-2832.5</f>
        <v>-214.07000000000016</v>
      </c>
      <c r="L127" s="138">
        <f>F127/2832.5</f>
        <v>0.924423654015887</v>
      </c>
      <c r="M127" s="40">
        <f>E127-березень!E127</f>
        <v>2</v>
      </c>
      <c r="N127" s="40">
        <f>F127-березень!F127</f>
        <v>14.679999999999836</v>
      </c>
      <c r="O127" s="53">
        <f aca="true" t="shared" si="45" ref="O127:O134">N127-M127</f>
        <v>12.679999999999836</v>
      </c>
      <c r="P127" s="60">
        <f>N127/M127*100</f>
        <v>733.9999999999918</v>
      </c>
      <c r="Q127" s="60">
        <f>N127-392.9</f>
        <v>-378.22000000000014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-0.27</v>
      </c>
      <c r="G128" s="49">
        <f t="shared" si="43"/>
        <v>-0.27</v>
      </c>
      <c r="H128" s="40"/>
      <c r="I128" s="60">
        <f t="shared" si="44"/>
        <v>-0.27</v>
      </c>
      <c r="J128" s="60"/>
      <c r="K128" s="60">
        <f>F128-(-0.6)</f>
        <v>0.32999999999999996</v>
      </c>
      <c r="L128" s="138">
        <f>F128/(-0.6)</f>
        <v>0.45000000000000007</v>
      </c>
      <c r="M128" s="40">
        <f>E128-березень!E128</f>
        <v>0</v>
      </c>
      <c r="N128" s="40">
        <f>F128-березень!F128</f>
        <v>0.08999999999999997</v>
      </c>
      <c r="O128" s="53">
        <f t="shared" si="45"/>
        <v>0.08999999999999997</v>
      </c>
      <c r="P128" s="60"/>
      <c r="Q128" s="60">
        <f>N128-0.2</f>
        <v>-0.11000000000000004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2527.8599999999997</v>
      </c>
      <c r="F129" s="38">
        <f>F127+F124+F128+F126</f>
        <v>2645.57</v>
      </c>
      <c r="G129" s="62">
        <f t="shared" si="43"/>
        <v>117.71000000000049</v>
      </c>
      <c r="H129" s="72">
        <f>F129/E129*100</f>
        <v>104.65650787622734</v>
      </c>
      <c r="I129" s="61">
        <f t="shared" si="44"/>
        <v>-6105.130000000001</v>
      </c>
      <c r="J129" s="61">
        <f>F129/D129*100</f>
        <v>30.23266710091764</v>
      </c>
      <c r="K129" s="61">
        <f>F129-2938.1</f>
        <v>-292.52999999999975</v>
      </c>
      <c r="L129" s="139">
        <f>G129/2938.1</f>
        <v>0.04006330621830451</v>
      </c>
      <c r="M129" s="62">
        <f>M124+M127+M128+M126</f>
        <v>5</v>
      </c>
      <c r="N129" s="62">
        <f>N124+N127+N128+N126</f>
        <v>29.05999999999984</v>
      </c>
      <c r="O129" s="61">
        <f t="shared" si="45"/>
        <v>24.05999999999984</v>
      </c>
      <c r="P129" s="61">
        <f>N129/M129*100</f>
        <v>581.1999999999967</v>
      </c>
      <c r="Q129" s="61">
        <f>N129-393.8</f>
        <v>-364.7400000000002</v>
      </c>
      <c r="R129" s="137">
        <f>N129/393.8</f>
        <v>0.07379380396140131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8.25</v>
      </c>
      <c r="F130" s="33">
        <v>12.19</v>
      </c>
      <c r="G130" s="49">
        <f>F130-E130</f>
        <v>3.9399999999999995</v>
      </c>
      <c r="H130" s="40">
        <f>F130/E130*100</f>
        <v>147.75757575757575</v>
      </c>
      <c r="I130" s="60">
        <f>F130-D130</f>
        <v>-17.810000000000002</v>
      </c>
      <c r="J130" s="60">
        <f>F130/D130*100</f>
        <v>40.63333333333333</v>
      </c>
      <c r="K130" s="60">
        <f>F130-8.8</f>
        <v>3.389999999999999</v>
      </c>
      <c r="L130" s="138">
        <f>F130/8.8</f>
        <v>1.3852272727272725</v>
      </c>
      <c r="M130" s="40">
        <f>E130-березень!E130</f>
        <v>0.40000000000000036</v>
      </c>
      <c r="N130" s="40">
        <f>F130-березень!F130</f>
        <v>1.2199999999999989</v>
      </c>
      <c r="O130" s="53">
        <f>N130-M130</f>
        <v>0.8199999999999985</v>
      </c>
      <c r="P130" s="60">
        <f>N130/M130*100</f>
        <v>304.99999999999943</v>
      </c>
      <c r="Q130" s="60">
        <f>N130-0.5</f>
        <v>0.7199999999999989</v>
      </c>
      <c r="R130" s="138">
        <f>N130/0.5</f>
        <v>2.4399999999999977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E131-березень!E131</f>
        <v>0</v>
      </c>
      <c r="N131" s="40">
        <f>F131-березень!F131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E132-березень!E132</f>
        <v>0</v>
      </c>
      <c r="N132" s="40">
        <f>F132-березень!F132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32292.079999999998</v>
      </c>
      <c r="F133" s="31">
        <f>F116+F130+F123+F129+F132+F131</f>
        <v>33317.79</v>
      </c>
      <c r="G133" s="50">
        <f t="shared" si="43"/>
        <v>1025.7100000000028</v>
      </c>
      <c r="H133" s="51">
        <f>F133/E133*100</f>
        <v>103.17635160076404</v>
      </c>
      <c r="I133" s="36">
        <f t="shared" si="44"/>
        <v>-86723.70000000001</v>
      </c>
      <c r="J133" s="36">
        <f>F133/D133*100</f>
        <v>27.75522862970128</v>
      </c>
      <c r="K133" s="36">
        <f>F133-36860.1</f>
        <v>-3542.3099999999977</v>
      </c>
      <c r="L133" s="136">
        <f>F133/36860.1</f>
        <v>0.9038985244207152</v>
      </c>
      <c r="M133" s="31">
        <f>M116+M130+M123+M129+M132+M131</f>
        <v>10365.67</v>
      </c>
      <c r="N133" s="31">
        <f>N116+N130+N123+N129+N132+N131</f>
        <v>8415.829999999998</v>
      </c>
      <c r="O133" s="36">
        <f t="shared" si="45"/>
        <v>-1949.840000000002</v>
      </c>
      <c r="P133" s="36">
        <f>N133/M133*100</f>
        <v>81.18944554476457</v>
      </c>
      <c r="Q133" s="36">
        <f>N133-8565.9</f>
        <v>-150.07000000000153</v>
      </c>
      <c r="R133" s="136">
        <f>N133/8564.9</f>
        <v>0.9825952433770386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190969.87000000002</v>
      </c>
      <c r="F134" s="31">
        <f>F106+F133</f>
        <v>183274.92000000004</v>
      </c>
      <c r="G134" s="50">
        <f t="shared" si="43"/>
        <v>-7694.9499999999825</v>
      </c>
      <c r="H134" s="51">
        <f>F134/E134*100</f>
        <v>95.97059473308539</v>
      </c>
      <c r="I134" s="36">
        <f t="shared" si="44"/>
        <v>-443646.1699999999</v>
      </c>
      <c r="J134" s="36">
        <f>F134/D134*100</f>
        <v>29.2341289714787</v>
      </c>
      <c r="K134" s="36">
        <f>F134-193362.2</f>
        <v>-10087.27999999997</v>
      </c>
      <c r="L134" s="136">
        <f>F134/193362.2</f>
        <v>0.9478322029848648</v>
      </c>
      <c r="M134" s="22">
        <f>M106+M133</f>
        <v>50967.359999999986</v>
      </c>
      <c r="N134" s="22">
        <f>N106+N133</f>
        <v>47638.44999999998</v>
      </c>
      <c r="O134" s="36">
        <f t="shared" si="45"/>
        <v>-3328.9100000000035</v>
      </c>
      <c r="P134" s="36">
        <f>N134/M134*100</f>
        <v>93.46854535922597</v>
      </c>
      <c r="Q134" s="36">
        <f>N134-50285.6</f>
        <v>-2647.150000000016</v>
      </c>
      <c r="R134" s="136">
        <f>N134/50285.6</f>
        <v>0.9473576928583926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8"/>
      <c r="H137" s="198"/>
      <c r="I137" s="198"/>
      <c r="J137" s="198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41759</v>
      </c>
      <c r="D138" s="39">
        <v>4191.8</v>
      </c>
      <c r="N138" s="193"/>
      <c r="O138" s="193"/>
    </row>
    <row r="139" spans="3:15" ht="15.75">
      <c r="C139" s="120">
        <v>41758</v>
      </c>
      <c r="D139" s="39">
        <v>5440.9</v>
      </c>
      <c r="F139" s="4" t="s">
        <v>166</v>
      </c>
      <c r="G139" s="189" t="s">
        <v>151</v>
      </c>
      <c r="H139" s="189"/>
      <c r="I139" s="115">
        <v>13825.22</v>
      </c>
      <c r="J139" s="190" t="s">
        <v>161</v>
      </c>
      <c r="K139" s="190"/>
      <c r="L139" s="190"/>
      <c r="M139" s="190"/>
      <c r="N139" s="193"/>
      <c r="O139" s="193"/>
    </row>
    <row r="140" spans="3:15" ht="15.75">
      <c r="C140" s="120">
        <v>41757</v>
      </c>
      <c r="D140" s="39">
        <v>1923.2</v>
      </c>
      <c r="G140" s="191" t="s">
        <v>155</v>
      </c>
      <c r="H140" s="191"/>
      <c r="I140" s="112">
        <v>0</v>
      </c>
      <c r="J140" s="192" t="s">
        <v>162</v>
      </c>
      <c r="K140" s="192"/>
      <c r="L140" s="192"/>
      <c r="M140" s="192"/>
      <c r="N140" s="193"/>
      <c r="O140" s="193"/>
    </row>
    <row r="141" spans="7:13" ht="15.75" customHeight="1">
      <c r="G141" s="189" t="s">
        <v>148</v>
      </c>
      <c r="H141" s="189"/>
      <c r="I141" s="112">
        <v>0</v>
      </c>
      <c r="J141" s="190" t="s">
        <v>163</v>
      </c>
      <c r="K141" s="190"/>
      <c r="L141" s="190"/>
      <c r="M141" s="190"/>
    </row>
    <row r="142" spans="2:13" ht="18.75" customHeight="1">
      <c r="B142" s="187" t="s">
        <v>160</v>
      </c>
      <c r="C142" s="188"/>
      <c r="D142" s="117">
        <v>123251.48</v>
      </c>
      <c r="E142" s="80"/>
      <c r="F142" s="100" t="s">
        <v>147</v>
      </c>
      <c r="G142" s="189" t="s">
        <v>149</v>
      </c>
      <c r="H142" s="189"/>
      <c r="I142" s="116">
        <v>109426.25</v>
      </c>
      <c r="J142" s="190" t="s">
        <v>164</v>
      </c>
      <c r="K142" s="190"/>
      <c r="L142" s="190"/>
      <c r="M142" s="190"/>
    </row>
    <row r="143" spans="7:12" ht="9.75" customHeight="1">
      <c r="G143" s="183"/>
      <c r="H143" s="183"/>
      <c r="I143" s="98"/>
      <c r="J143" s="99"/>
      <c r="K143" s="99"/>
      <c r="L143" s="99"/>
    </row>
    <row r="144" spans="2:12" ht="22.5" customHeight="1">
      <c r="B144" s="184" t="s">
        <v>169</v>
      </c>
      <c r="C144" s="185"/>
      <c r="D144" s="119">
        <f>'[1]надх'!$B$52/1000</f>
        <v>22196.79284</v>
      </c>
      <c r="E144" s="77" t="s">
        <v>104</v>
      </c>
      <c r="G144" s="183"/>
      <c r="H144" s="183"/>
      <c r="I144" s="98"/>
      <c r="J144" s="99"/>
      <c r="K144" s="99"/>
      <c r="L144" s="99"/>
    </row>
    <row r="145" spans="4:15" ht="15.75">
      <c r="D145" s="114"/>
      <c r="N145" s="183"/>
      <c r="O145" s="183"/>
    </row>
    <row r="146" spans="4:15" ht="15.75">
      <c r="D146" s="113"/>
      <c r="I146" s="39"/>
      <c r="N146" s="186"/>
      <c r="O146" s="186"/>
    </row>
    <row r="147" spans="14:15" ht="15.75">
      <c r="N147" s="183"/>
      <c r="O147" s="183"/>
    </row>
  </sheetData>
  <mergeCells count="38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1" right="0.22" top="0.26" bottom="0.36" header="0.22" footer="0.29"/>
  <pageSetup fitToHeight="1" fitToWidth="1" horizontalDpi="600" verticalDpi="600" orientation="portrait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F96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03" sqref="G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209" t="s">
        <v>212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126"/>
      <c r="R1" s="127"/>
    </row>
    <row r="2" spans="2:18" s="1" customFormat="1" ht="15.75" customHeight="1">
      <c r="B2" s="210"/>
      <c r="C2" s="210"/>
      <c r="D2" s="21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211"/>
      <c r="B3" s="176"/>
      <c r="C3" s="177" t="s">
        <v>0</v>
      </c>
      <c r="D3" s="178" t="s">
        <v>208</v>
      </c>
      <c r="E3" s="178"/>
      <c r="F3" s="179" t="s">
        <v>107</v>
      </c>
      <c r="G3" s="180"/>
      <c r="H3" s="180"/>
      <c r="I3" s="180"/>
      <c r="J3" s="180"/>
      <c r="K3" s="180"/>
      <c r="L3" s="212"/>
      <c r="M3" s="213" t="s">
        <v>210</v>
      </c>
      <c r="N3" s="215" t="s">
        <v>198</v>
      </c>
      <c r="O3" s="215"/>
      <c r="P3" s="215"/>
      <c r="Q3" s="215"/>
      <c r="R3" s="215"/>
    </row>
    <row r="4" spans="1:18" ht="22.5" customHeight="1">
      <c r="A4" s="211"/>
      <c r="B4" s="176"/>
      <c r="C4" s="177"/>
      <c r="D4" s="178"/>
      <c r="E4" s="178"/>
      <c r="F4" s="216" t="s">
        <v>116</v>
      </c>
      <c r="G4" s="203" t="s">
        <v>207</v>
      </c>
      <c r="H4" s="205" t="s">
        <v>195</v>
      </c>
      <c r="I4" s="201" t="s">
        <v>188</v>
      </c>
      <c r="J4" s="207" t="s">
        <v>189</v>
      </c>
      <c r="K4" s="194" t="s">
        <v>196</v>
      </c>
      <c r="L4" s="195"/>
      <c r="M4" s="214"/>
      <c r="N4" s="199" t="s">
        <v>213</v>
      </c>
      <c r="O4" s="201" t="s">
        <v>136</v>
      </c>
      <c r="P4" s="201" t="s">
        <v>135</v>
      </c>
      <c r="Q4" s="194" t="s">
        <v>197</v>
      </c>
      <c r="R4" s="195"/>
    </row>
    <row r="5" spans="1:18" ht="82.5" customHeight="1">
      <c r="A5" s="175"/>
      <c r="B5" s="176"/>
      <c r="C5" s="177"/>
      <c r="D5" s="150" t="s">
        <v>209</v>
      </c>
      <c r="E5" s="158" t="s">
        <v>214</v>
      </c>
      <c r="F5" s="217"/>
      <c r="G5" s="204"/>
      <c r="H5" s="206"/>
      <c r="I5" s="202"/>
      <c r="J5" s="208"/>
      <c r="K5" s="196"/>
      <c r="L5" s="197"/>
      <c r="M5" s="151" t="s">
        <v>211</v>
      </c>
      <c r="N5" s="200"/>
      <c r="O5" s="202"/>
      <c r="P5" s="202"/>
      <c r="Q5" s="196"/>
      <c r="R5" s="197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115237.90000000002</v>
      </c>
      <c r="F8" s="22">
        <f>F10+F19+F33+F56+F68+F30</f>
        <v>107609.01000000001</v>
      </c>
      <c r="G8" s="22">
        <f aca="true" t="shared" si="0" ref="G8:G30">F8-E8</f>
        <v>-7628.890000000014</v>
      </c>
      <c r="H8" s="51">
        <f>F8/E8*100</f>
        <v>93.37987762706538</v>
      </c>
      <c r="I8" s="36">
        <f aca="true" t="shared" si="1" ref="I8:I17">F8-D8</f>
        <v>-411720.29</v>
      </c>
      <c r="J8" s="36">
        <f aca="true" t="shared" si="2" ref="J8:J14">F8/D8*100</f>
        <v>20.72076618823548</v>
      </c>
      <c r="K8" s="36">
        <f>F8-110917.9</f>
        <v>-3308.889999999985</v>
      </c>
      <c r="L8" s="136">
        <f>F8/110917.9</f>
        <v>0.9701681153357575</v>
      </c>
      <c r="M8" s="22">
        <f>M10+M19+M33+M56+M68+M30</f>
        <v>41173.10000000001</v>
      </c>
      <c r="N8" s="22">
        <f>N10+N19+N33+N56+N68+N30</f>
        <v>38295.76000000001</v>
      </c>
      <c r="O8" s="36">
        <f aca="true" t="shared" si="3" ref="O8:O71">N8-M8</f>
        <v>-2877.340000000004</v>
      </c>
      <c r="P8" s="36">
        <f>F8/M8*100</f>
        <v>261.357561126075</v>
      </c>
      <c r="Q8" s="36">
        <f>N8-38338.6</f>
        <v>-42.83999999998923</v>
      </c>
      <c r="R8" s="134">
        <f>N8/38338.6</f>
        <v>0.9988825883052592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86046.61</v>
      </c>
      <c r="G9" s="22">
        <f t="shared" si="0"/>
        <v>86046.61</v>
      </c>
      <c r="H9" s="20"/>
      <c r="I9" s="56">
        <f t="shared" si="1"/>
        <v>-332319.59</v>
      </c>
      <c r="J9" s="56">
        <f t="shared" si="2"/>
        <v>20.56729487229131</v>
      </c>
      <c r="K9" s="56"/>
      <c r="L9" s="135"/>
      <c r="M9" s="20">
        <f>M10+M17</f>
        <v>33586.40000000001</v>
      </c>
      <c r="N9" s="20">
        <f>N10+N17</f>
        <v>31300.620000000003</v>
      </c>
      <c r="O9" s="36">
        <f t="shared" si="3"/>
        <v>-2285.780000000006</v>
      </c>
      <c r="P9" s="56">
        <f>F9/M9*100</f>
        <v>256.194799085344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418366.2</v>
      </c>
      <c r="E10" s="41">
        <v>93456.6</v>
      </c>
      <c r="F10" s="40">
        <v>86046.61</v>
      </c>
      <c r="G10" s="49">
        <f t="shared" si="0"/>
        <v>-7409.990000000005</v>
      </c>
      <c r="H10" s="40">
        <f aca="true" t="shared" si="4" ref="H10:H17">F10/E10*100</f>
        <v>92.07119668380831</v>
      </c>
      <c r="I10" s="56">
        <f t="shared" si="1"/>
        <v>-332319.59</v>
      </c>
      <c r="J10" s="56">
        <f t="shared" si="2"/>
        <v>20.56729487229131</v>
      </c>
      <c r="K10" s="141">
        <f>F10-85215.1</f>
        <v>831.5099999999948</v>
      </c>
      <c r="L10" s="142">
        <f>F10/85215.1</f>
        <v>1.0097577776708588</v>
      </c>
      <c r="M10" s="40">
        <f>E10-лютий!E10</f>
        <v>33586.40000000001</v>
      </c>
      <c r="N10" s="40">
        <f>F10-лютий!F10</f>
        <v>31300.620000000003</v>
      </c>
      <c r="O10" s="53">
        <f t="shared" si="3"/>
        <v>-2285.780000000006</v>
      </c>
      <c r="P10" s="56">
        <f aca="true" t="shared" si="5" ref="P10:P17">N10/M10*100</f>
        <v>93.19432865683727</v>
      </c>
      <c r="Q10" s="141">
        <f>N10-30092.3</f>
        <v>1208.3200000000033</v>
      </c>
      <c r="R10" s="142">
        <f>N10/30092.3</f>
        <v>1.0401537934953462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E11-лютий!E11</f>
        <v>0</v>
      </c>
      <c r="N11" s="40">
        <f>F11-лютий!F11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E12-лютий!E12</f>
        <v>0</v>
      </c>
      <c r="N12" s="40">
        <f>F12-лютий!F12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E13-лютий!E13</f>
        <v>0</v>
      </c>
      <c r="N13" s="40">
        <f>F13-лютий!F13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E14-лютий!E14</f>
        <v>0</v>
      </c>
      <c r="N14" s="40">
        <f>F14-лютий!F14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E15-лютий!E15</f>
        <v>0</v>
      </c>
      <c r="N15" s="40">
        <f>F15-лютий!F15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E16-лютий!E16</f>
        <v>0</v>
      </c>
      <c r="N16" s="40">
        <f>F16-лютий!F16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E17-лютий!E17</f>
        <v>0</v>
      </c>
      <c r="N17" s="40">
        <f>F17-лютий!F17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E18-лютий!E18</f>
        <v>0</v>
      </c>
      <c r="N18" s="40">
        <f>F18-лютий!F18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1228.6</v>
      </c>
      <c r="F19" s="40">
        <v>815.68</v>
      </c>
      <c r="G19" s="49">
        <f t="shared" si="0"/>
        <v>-412.91999999999996</v>
      </c>
      <c r="H19" s="40">
        <f aca="true" t="shared" si="6" ref="H19:H29">F19/E19*100</f>
        <v>66.39101416246133</v>
      </c>
      <c r="I19" s="56">
        <f aca="true" t="shared" si="7" ref="I19:I29">F19-D19</f>
        <v>-5184.32</v>
      </c>
      <c r="J19" s="56">
        <f aca="true" t="shared" si="8" ref="J19:J29">F19/D19*100</f>
        <v>13.594666666666665</v>
      </c>
      <c r="K19" s="56">
        <f>F19-4285.5</f>
        <v>-3469.82</v>
      </c>
      <c r="L19" s="135">
        <f>F19/4285.5</f>
        <v>0.19033485007583711</v>
      </c>
      <c r="M19" s="40">
        <f>E19-лютий!E19</f>
        <v>510.9999999999999</v>
      </c>
      <c r="N19" s="40">
        <f>F19-лютий!F19</f>
        <v>76.56999999999994</v>
      </c>
      <c r="O19" s="53">
        <f t="shared" si="3"/>
        <v>-434.42999999999995</v>
      </c>
      <c r="P19" s="56">
        <f aca="true" t="shared" si="9" ref="P19:P29">N19/M19*100</f>
        <v>14.984344422700577</v>
      </c>
      <c r="Q19" s="56">
        <f>N19-409.4</f>
        <v>-332.83000000000004</v>
      </c>
      <c r="R19" s="135">
        <f>N19/409.4</f>
        <v>0.187029799706888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E20-лютий!E20</f>
        <v>0</v>
      </c>
      <c r="N20" s="40">
        <f>F20-лютий!F20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E21-лютий!E21</f>
        <v>0</v>
      </c>
      <c r="N21" s="40">
        <f>F21-лютий!F21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E22-лютий!E22</f>
        <v>0</v>
      </c>
      <c r="N22" s="40">
        <f>F22-лютий!F22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E23-лютий!E23</f>
        <v>0</v>
      </c>
      <c r="N23" s="40">
        <f>F23-лютий!F23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E24-лютий!E24</f>
        <v>0</v>
      </c>
      <c r="N24" s="40">
        <f>F24-лютий!F24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E25-лютий!E25</f>
        <v>0</v>
      </c>
      <c r="N25" s="40">
        <f>F25-лютий!F25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E26-лютий!E26</f>
        <v>0</v>
      </c>
      <c r="N26" s="40">
        <f>F26-лютий!F26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E27-лютий!E27</f>
        <v>0</v>
      </c>
      <c r="N27" s="40">
        <f>F27-лютий!F27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E28-лютий!E28</f>
        <v>0</v>
      </c>
      <c r="N28" s="40">
        <f>F28-лютий!F28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3000</v>
      </c>
      <c r="E29" s="144">
        <v>728.6</v>
      </c>
      <c r="F29" s="146">
        <v>751.16</v>
      </c>
      <c r="G29" s="49">
        <f t="shared" si="0"/>
        <v>22.559999999999945</v>
      </c>
      <c r="H29" s="40">
        <f t="shared" si="6"/>
        <v>103.09634916277793</v>
      </c>
      <c r="I29" s="56">
        <f t="shared" si="7"/>
        <v>-2248.84</v>
      </c>
      <c r="J29" s="56">
        <f t="shared" si="8"/>
        <v>25.038666666666664</v>
      </c>
      <c r="K29" s="148">
        <f>F29-731.3</f>
        <v>19.860000000000014</v>
      </c>
      <c r="L29" s="149">
        <f>F29/731.3</f>
        <v>1.027157117462054</v>
      </c>
      <c r="M29" s="146">
        <f>E29-лютий!E29</f>
        <v>12.600000000000023</v>
      </c>
      <c r="N29" s="146">
        <f>F29-лютий!F29</f>
        <v>33.51999999999998</v>
      </c>
      <c r="O29" s="148">
        <f t="shared" si="3"/>
        <v>20.91999999999996</v>
      </c>
      <c r="P29" s="145">
        <f t="shared" si="9"/>
        <v>266.0317460317454</v>
      </c>
      <c r="Q29" s="145">
        <f>N29-408.7</f>
        <v>-375.18</v>
      </c>
      <c r="R29" s="156">
        <f>N29/408.7</f>
        <v>0.08201614876437481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E30-лютий!E30</f>
        <v>0</v>
      </c>
      <c r="N30" s="40">
        <f>F30-лютий!F30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E31-лютий!E31</f>
        <v>0</v>
      </c>
      <c r="N31" s="40">
        <f>F31-лютий!F31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E32-лютий!E32</f>
        <v>0</v>
      </c>
      <c r="N32" s="40">
        <f>F32-лютий!F32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88066</v>
      </c>
      <c r="E33" s="41">
        <f>18578.2+280.3</f>
        <v>18858.5</v>
      </c>
      <c r="F33" s="40">
        <v>19089.27</v>
      </c>
      <c r="G33" s="49">
        <f aca="true" t="shared" si="14" ref="G33:G72">F33-E33</f>
        <v>230.77000000000044</v>
      </c>
      <c r="H33" s="40">
        <f aca="true" t="shared" si="15" ref="H33:H67">F33/E33*100</f>
        <v>101.22369223427101</v>
      </c>
      <c r="I33" s="56">
        <f>F33-D33</f>
        <v>-68976.73</v>
      </c>
      <c r="J33" s="56">
        <f aca="true" t="shared" si="16" ref="J33:J72">F33/D33*100</f>
        <v>21.67609520132628</v>
      </c>
      <c r="K33" s="141">
        <f>F33-19762.7</f>
        <v>-673.4300000000003</v>
      </c>
      <c r="L33" s="142">
        <f>F33/19762.7</f>
        <v>0.965924190520526</v>
      </c>
      <c r="M33" s="40">
        <f>E33-лютий!E33</f>
        <v>6470.299999999999</v>
      </c>
      <c r="N33" s="40">
        <f>F33-лютий!F33</f>
        <v>6332.27</v>
      </c>
      <c r="O33" s="53">
        <f t="shared" si="3"/>
        <v>-138.02999999999884</v>
      </c>
      <c r="P33" s="56">
        <f aca="true" t="shared" si="17" ref="P33:P67">N33/M33*100</f>
        <v>97.86671406271735</v>
      </c>
      <c r="Q33" s="141">
        <f>N33-7227.1</f>
        <v>-894.8299999999999</v>
      </c>
      <c r="R33" s="142">
        <f>N33/7227.1</f>
        <v>0.8761840849026581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E34-лютий!E34</f>
        <v>0</v>
      </c>
      <c r="N34" s="40">
        <f>F34-лютий!F34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E35-лютий!E35</f>
        <v>0</v>
      </c>
      <c r="N35" s="40">
        <f>F35-лютий!F35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E36-лютий!E36</f>
        <v>0</v>
      </c>
      <c r="N36" s="40">
        <f>F36-лютий!F36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E37-лютий!E37</f>
        <v>0</v>
      </c>
      <c r="N37" s="40">
        <f>F37-лютий!F37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E38-лютий!E38</f>
        <v>0</v>
      </c>
      <c r="N38" s="40">
        <f>F38-лютий!F38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E39-лютий!E39</f>
        <v>0</v>
      </c>
      <c r="N39" s="40">
        <f>F39-лютий!F39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E40-лютий!E40</f>
        <v>0</v>
      </c>
      <c r="N40" s="40">
        <f>F40-лютий!F40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E41-лютий!E41</f>
        <v>0</v>
      </c>
      <c r="N41" s="40">
        <f>F41-лютий!F41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E42-лютий!E42</f>
        <v>0</v>
      </c>
      <c r="N42" s="40">
        <f>F42-лютий!F42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E43-лютий!E43</f>
        <v>0</v>
      </c>
      <c r="N43" s="40">
        <f>F43-лютий!F43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E44-лютий!E44</f>
        <v>0</v>
      </c>
      <c r="N44" s="40">
        <f>F44-лютий!F44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E45-лютий!E45</f>
        <v>0</v>
      </c>
      <c r="N45" s="40">
        <f>F45-лютий!F45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E46-лютий!E46</f>
        <v>0</v>
      </c>
      <c r="N46" s="40">
        <f>F46-лютий!F46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E47-лютий!E47</f>
        <v>0</v>
      </c>
      <c r="N47" s="40">
        <f>F47-лютий!F47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E48-лютий!E48</f>
        <v>0</v>
      </c>
      <c r="N48" s="40">
        <f>F48-лютий!F48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E49-лютий!E49</f>
        <v>0</v>
      </c>
      <c r="N49" s="40">
        <f>F49-лютий!F49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E50-лютий!E50</f>
        <v>0</v>
      </c>
      <c r="N50" s="40">
        <f>F50-лютий!F50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E51-лютий!E51</f>
        <v>0</v>
      </c>
      <c r="N51" s="40">
        <f>F51-лютий!F51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E52-лютий!E52</f>
        <v>0</v>
      </c>
      <c r="N52" s="40">
        <f>F52-лютий!F52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E53-лютий!E53</f>
        <v>0</v>
      </c>
      <c r="N53" s="40">
        <f>F53-лютий!F53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E54-лютий!E54</f>
        <v>0</v>
      </c>
      <c r="N54" s="40">
        <f>F54-лютий!F54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f>56066+10200</f>
        <v>66266</v>
      </c>
      <c r="E55" s="144">
        <f>13737.9+280.3</f>
        <v>14018.199999999999</v>
      </c>
      <c r="F55" s="146">
        <v>14197.01</v>
      </c>
      <c r="G55" s="144">
        <f t="shared" si="14"/>
        <v>178.8100000000013</v>
      </c>
      <c r="H55" s="146">
        <f t="shared" si="15"/>
        <v>101.2755560628326</v>
      </c>
      <c r="I55" s="145">
        <f t="shared" si="18"/>
        <v>-52068.99</v>
      </c>
      <c r="J55" s="145">
        <f t="shared" si="16"/>
        <v>21.42427489210153</v>
      </c>
      <c r="K55" s="148">
        <f>F55-14615.9</f>
        <v>-418.8899999999994</v>
      </c>
      <c r="L55" s="149">
        <f>F55/14615.9</f>
        <v>0.9713401159011762</v>
      </c>
      <c r="M55" s="146">
        <f>E55-лютий!E55</f>
        <v>4518.199999999999</v>
      </c>
      <c r="N55" s="146">
        <f>F55-лютий!F55</f>
        <v>4716.9</v>
      </c>
      <c r="O55" s="148">
        <f t="shared" si="3"/>
        <v>198.70000000000073</v>
      </c>
      <c r="P55" s="148">
        <f t="shared" si="17"/>
        <v>104.39776902306231</v>
      </c>
      <c r="Q55" s="154">
        <f>N55-4813.8</f>
        <v>-96.90000000000055</v>
      </c>
      <c r="R55" s="155">
        <f>N55/4813.8</f>
        <v>0.979870372678549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1685.1</v>
      </c>
      <c r="F56" s="40">
        <v>1653.71</v>
      </c>
      <c r="G56" s="49">
        <f t="shared" si="14"/>
        <v>-31.389999999999873</v>
      </c>
      <c r="H56" s="40">
        <f t="shared" si="15"/>
        <v>98.13720253990861</v>
      </c>
      <c r="I56" s="56">
        <f t="shared" si="18"/>
        <v>-5206.29</v>
      </c>
      <c r="J56" s="56">
        <f t="shared" si="16"/>
        <v>24.106559766763848</v>
      </c>
      <c r="K56" s="56">
        <f>F56-1629.5</f>
        <v>24.210000000000036</v>
      </c>
      <c r="L56" s="135">
        <f>F56/1629.5</f>
        <v>1.0148573181957656</v>
      </c>
      <c r="M56" s="40">
        <f>E56-лютий!E56</f>
        <v>605.3999999999999</v>
      </c>
      <c r="N56" s="40">
        <f>F56-лютий!F56</f>
        <v>586.25</v>
      </c>
      <c r="O56" s="53">
        <f t="shared" si="3"/>
        <v>-19.149999999999864</v>
      </c>
      <c r="P56" s="56">
        <f t="shared" si="17"/>
        <v>96.8368021143046</v>
      </c>
      <c r="Q56" s="56">
        <f>N56-609.7</f>
        <v>-23.450000000000045</v>
      </c>
      <c r="R56" s="135">
        <f>N56/609.7</f>
        <v>0.9615384615384615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E57-лютий!E57</f>
        <v>0</v>
      </c>
      <c r="N57" s="40">
        <f>F57-лютий!F57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E58-лютий!E58</f>
        <v>0</v>
      </c>
      <c r="N58" s="40">
        <f>F58-лютий!F58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E59-лютий!E59</f>
        <v>0</v>
      </c>
      <c r="N59" s="40">
        <f>F59-лютий!F59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E60-лютий!E60</f>
        <v>0</v>
      </c>
      <c r="N60" s="40">
        <f>F60-лютий!F60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E61-лютий!E61</f>
        <v>0</v>
      </c>
      <c r="N61" s="40">
        <f>F61-лютий!F61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E62-лютий!E62</f>
        <v>0</v>
      </c>
      <c r="N62" s="40">
        <f>F62-лютий!F62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E63-лютий!E63</f>
        <v>0</v>
      </c>
      <c r="N63" s="40">
        <f>F63-лютий!F63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E64-лютий!E64</f>
        <v>0</v>
      </c>
      <c r="N64" s="40">
        <f>F64-лютий!F64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E65-лютий!E65</f>
        <v>0</v>
      </c>
      <c r="N65" s="40">
        <f>F65-лютий!F65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E66-лютий!E66</f>
        <v>0</v>
      </c>
      <c r="N66" s="40">
        <f>F66-лютий!F66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E67-лютий!E67</f>
        <v>0</v>
      </c>
      <c r="N67" s="40">
        <f>F67-лютий!F67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0.83</v>
      </c>
      <c r="G68" s="49">
        <f t="shared" si="14"/>
        <v>0.73</v>
      </c>
      <c r="H68" s="40"/>
      <c r="I68" s="56">
        <f t="shared" si="18"/>
        <v>0.73</v>
      </c>
      <c r="J68" s="56">
        <f t="shared" si="16"/>
        <v>829.9999999999999</v>
      </c>
      <c r="K68" s="56">
        <f>F68-0.3</f>
        <v>0.53</v>
      </c>
      <c r="L68" s="135"/>
      <c r="M68" s="40">
        <f>E68-лютий!E68</f>
        <v>0</v>
      </c>
      <c r="N68" s="40">
        <f>F68-лютий!F68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>
        <f>N68/0.1</f>
        <v>0.49999999999999933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2832</v>
      </c>
      <c r="F74" s="22">
        <f>F77+F86+F88+F89+F94+F95+F96+F97+F99+F103+F87</f>
        <v>3119.5499999999997</v>
      </c>
      <c r="G74" s="50">
        <f aca="true" t="shared" si="24" ref="G74:G92">F74-E74</f>
        <v>287.5499999999997</v>
      </c>
      <c r="H74" s="51">
        <f aca="true" t="shared" si="25" ref="H74:H87">F74/E74*100</f>
        <v>110.15360169491524</v>
      </c>
      <c r="I74" s="36">
        <f aca="true" t="shared" si="26" ref="I74:I92">F74-D74</f>
        <v>-14546.05</v>
      </c>
      <c r="J74" s="36">
        <f aca="true" t="shared" si="27" ref="J74:J92">F74/D74*100</f>
        <v>17.6588963861969</v>
      </c>
      <c r="K74" s="36">
        <f>F74-3848.8</f>
        <v>-729.2500000000005</v>
      </c>
      <c r="L74" s="136">
        <f>F74/3848.8</f>
        <v>0.8105253585533152</v>
      </c>
      <c r="M74" s="22">
        <f>M77+M86+M88+M89+M94+M95+M96+M97+M99+M87+M103</f>
        <v>965</v>
      </c>
      <c r="N74" s="22">
        <f>N77+N86+N88+N89+N94+N95+N96+N97+N99+N32+N103+N87</f>
        <v>1015.0300000000001</v>
      </c>
      <c r="O74" s="55">
        <f aca="true" t="shared" si="28" ref="O74:O92">N74-M74</f>
        <v>50.030000000000086</v>
      </c>
      <c r="P74" s="36">
        <f>N74/M74*100</f>
        <v>105.18445595854924</v>
      </c>
      <c r="Q74" s="36">
        <f>N74-1138.4</f>
        <v>-123.37</v>
      </c>
      <c r="R74" s="136">
        <f>N74/1138.4</f>
        <v>0.8916286015460295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23.91</v>
      </c>
      <c r="G77" s="49">
        <f t="shared" si="24"/>
        <v>13.91</v>
      </c>
      <c r="H77" s="40">
        <f t="shared" si="25"/>
        <v>239.1</v>
      </c>
      <c r="I77" s="56">
        <f t="shared" si="26"/>
        <v>-1676.09</v>
      </c>
      <c r="J77" s="56">
        <f t="shared" si="27"/>
        <v>1.4064705882352941</v>
      </c>
      <c r="K77" s="56">
        <f>F77-1273.9</f>
        <v>-1249.99</v>
      </c>
      <c r="L77" s="135">
        <f>F77/1273.9</f>
        <v>0.018769134154957217</v>
      </c>
      <c r="M77" s="40">
        <f>E77-лютий!E77</f>
        <v>0</v>
      </c>
      <c r="N77" s="40">
        <f>F77-лютий!F77</f>
        <v>8.040000000000001</v>
      </c>
      <c r="O77" s="53">
        <f t="shared" si="28"/>
        <v>8.040000000000001</v>
      </c>
      <c r="P77" s="56" t="e">
        <f aca="true" t="shared" si="29" ref="P77:P87">N77/M77*100</f>
        <v>#DIV/0!</v>
      </c>
      <c r="Q77" s="56">
        <f>N77-0</f>
        <v>8.040000000000001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E78-лютий!E78</f>
        <v>0</v>
      </c>
      <c r="N78" s="40">
        <f>F78-лютий!F78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E79-лютий!E79</f>
        <v>0</v>
      </c>
      <c r="N79" s="40">
        <f>F79-лютий!F79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E80-лютий!E80</f>
        <v>0</v>
      </c>
      <c r="N80" s="40">
        <f>F80-лютий!F80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E81-лютий!E81</f>
        <v>0</v>
      </c>
      <c r="N81" s="40">
        <f>F81-лютий!F81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E82-лютий!E82</f>
        <v>0</v>
      </c>
      <c r="N82" s="40">
        <f>F82-лютий!F82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E83-лютий!E83</f>
        <v>0</v>
      </c>
      <c r="N83" s="40">
        <f>F83-лютий!F83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E84-лютий!E84</f>
        <v>0</v>
      </c>
      <c r="N84" s="40">
        <f>F84-лютий!F84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E85-лютий!E85</f>
        <v>0</v>
      </c>
      <c r="N85" s="40">
        <f>F85-лютий!F85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80</v>
      </c>
      <c r="F86" s="57">
        <v>0</v>
      </c>
      <c r="G86" s="49">
        <f t="shared" si="24"/>
        <v>-80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F86-83</f>
        <v>-83</v>
      </c>
      <c r="L86" s="135">
        <f>F86/83</f>
        <v>0</v>
      </c>
      <c r="M86" s="40">
        <f>E86-лютий!E86</f>
        <v>80</v>
      </c>
      <c r="N86" s="40">
        <f>F86-лютий!F86</f>
        <v>0</v>
      </c>
      <c r="O86" s="53">
        <f t="shared" si="28"/>
        <v>-80</v>
      </c>
      <c r="P86" s="56">
        <f t="shared" si="29"/>
        <v>0</v>
      </c>
      <c r="Q86" s="56">
        <f>N86-83</f>
        <v>-83</v>
      </c>
      <c r="R86" s="135">
        <f>N86/83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/>
      <c r="E87" s="41">
        <v>0</v>
      </c>
      <c r="F87" s="57">
        <v>212.16</v>
      </c>
      <c r="G87" s="49">
        <f t="shared" si="24"/>
        <v>212.16</v>
      </c>
      <c r="H87" s="40" t="e">
        <f t="shared" si="25"/>
        <v>#DIV/0!</v>
      </c>
      <c r="I87" s="56"/>
      <c r="J87" s="56"/>
      <c r="K87" s="56"/>
      <c r="L87" s="135"/>
      <c r="M87" s="40">
        <f>E87-лютий!E87</f>
        <v>0</v>
      </c>
      <c r="N87" s="40">
        <f>F87-лютий!F87</f>
        <v>114.78</v>
      </c>
      <c r="O87" s="53">
        <f t="shared" si="28"/>
        <v>114.78</v>
      </c>
      <c r="P87" s="56" t="e">
        <f t="shared" si="29"/>
        <v>#DIV/0!</v>
      </c>
      <c r="Q87" s="56">
        <f>N87-0</f>
        <v>114.78</v>
      </c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0.5</v>
      </c>
      <c r="F88" s="57">
        <v>3.4</v>
      </c>
      <c r="G88" s="49">
        <f t="shared" si="24"/>
        <v>2.9</v>
      </c>
      <c r="H88" s="40">
        <f>F88/E88*100</f>
        <v>680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E88-лютий!E88</f>
        <v>0.5</v>
      </c>
      <c r="N88" s="40">
        <f>F88-лютий!F88</f>
        <v>0</v>
      </c>
      <c r="O88" s="53">
        <f t="shared" si="28"/>
        <v>-0.5</v>
      </c>
      <c r="P88" s="56">
        <f>N88/M88*100</f>
        <v>0</v>
      </c>
      <c r="Q88" s="56">
        <f>N88-0</f>
        <v>0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39</v>
      </c>
      <c r="F89" s="57">
        <v>26.77</v>
      </c>
      <c r="G89" s="49">
        <f t="shared" si="24"/>
        <v>-12.23</v>
      </c>
      <c r="H89" s="40">
        <f>F89/E89*100</f>
        <v>68.64102564102565</v>
      </c>
      <c r="I89" s="56">
        <f t="shared" si="26"/>
        <v>-148.23</v>
      </c>
      <c r="J89" s="56">
        <f t="shared" si="27"/>
        <v>15.297142857142857</v>
      </c>
      <c r="K89" s="56">
        <f>F89-47.5</f>
        <v>-20.73</v>
      </c>
      <c r="L89" s="135">
        <f>F89/47.5</f>
        <v>0.5635789473684211</v>
      </c>
      <c r="M89" s="40">
        <f>E89-лютий!E89</f>
        <v>15</v>
      </c>
      <c r="N89" s="40">
        <f>F89-лютий!F89</f>
        <v>7.359999999999999</v>
      </c>
      <c r="O89" s="53">
        <f t="shared" si="28"/>
        <v>-7.640000000000001</v>
      </c>
      <c r="P89" s="56">
        <f>N89/M89*100</f>
        <v>49.06666666666666</v>
      </c>
      <c r="Q89" s="56">
        <f>N89-15.9</f>
        <v>-8.540000000000001</v>
      </c>
      <c r="R89" s="135">
        <f>N89/15.9</f>
        <v>0.46289308176100624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E90-лютий!E90</f>
        <v>0</v>
      </c>
      <c r="N90" s="40">
        <f>F90-лютий!F90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E91-лютий!E91</f>
        <v>0</v>
      </c>
      <c r="N91" s="40">
        <f>F91-лютий!F91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E92-лютий!E92</f>
        <v>0</v>
      </c>
      <c r="N92" s="40">
        <f>F92-лютий!F92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E93-лютий!E93</f>
        <v>0</v>
      </c>
      <c r="N93" s="40">
        <f>F93-лютий!F93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E94-лютий!E94</f>
        <v>0</v>
      </c>
      <c r="N94" s="40">
        <f>F94-лютий!F94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1676.5</v>
      </c>
      <c r="F95" s="57">
        <v>1727.4</v>
      </c>
      <c r="G95" s="49">
        <f t="shared" si="31"/>
        <v>50.90000000000009</v>
      </c>
      <c r="H95" s="40">
        <f>F95/E95*100</f>
        <v>103.03608708619147</v>
      </c>
      <c r="I95" s="56">
        <f t="shared" si="32"/>
        <v>-4572.6</v>
      </c>
      <c r="J95" s="56">
        <f>F95/D95*100</f>
        <v>27.41904761904762</v>
      </c>
      <c r="K95" s="56">
        <f>F95-1478.7</f>
        <v>248.70000000000005</v>
      </c>
      <c r="L95" s="135">
        <f>F95/1478.7</f>
        <v>1.1681882734834652</v>
      </c>
      <c r="M95" s="40">
        <f>E95-лютий!E95</f>
        <v>515</v>
      </c>
      <c r="N95" s="40">
        <f>F95-лютий!F95</f>
        <v>537.48</v>
      </c>
      <c r="O95" s="53">
        <f t="shared" si="33"/>
        <v>22.480000000000018</v>
      </c>
      <c r="P95" s="56">
        <f>N95/M95*100</f>
        <v>104.36504854368933</v>
      </c>
      <c r="Q95" s="56">
        <f>N95-653.7</f>
        <v>-116.22000000000003</v>
      </c>
      <c r="R95" s="135">
        <f>N95/653.7</f>
        <v>0.8222120238641578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224.5</v>
      </c>
      <c r="F96" s="57">
        <v>198.87</v>
      </c>
      <c r="G96" s="49">
        <f t="shared" si="31"/>
        <v>-25.629999999999995</v>
      </c>
      <c r="H96" s="40">
        <f>F96/E96*100</f>
        <v>88.58351893095768</v>
      </c>
      <c r="I96" s="56">
        <f t="shared" si="32"/>
        <v>-1001.13</v>
      </c>
      <c r="J96" s="56">
        <f>F96/D96*100</f>
        <v>16.5725</v>
      </c>
      <c r="K96" s="56">
        <f>F96-161.5</f>
        <v>37.370000000000005</v>
      </c>
      <c r="L96" s="135">
        <f>F96/161.5</f>
        <v>1.2313931888544891</v>
      </c>
      <c r="M96" s="40">
        <f>E96-лютий!E96</f>
        <v>80</v>
      </c>
      <c r="N96" s="40">
        <f>F96-лютий!F96</f>
        <v>72.33</v>
      </c>
      <c r="O96" s="53">
        <f t="shared" si="33"/>
        <v>-7.670000000000002</v>
      </c>
      <c r="P96" s="56">
        <f>N96/M96*100</f>
        <v>90.4125</v>
      </c>
      <c r="Q96" s="56">
        <f>N96-101.5</f>
        <v>-29.17</v>
      </c>
      <c r="R96" s="135">
        <f>N96/101.5</f>
        <v>0.7126108374384237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E97-лютий!E97</f>
        <v>0</v>
      </c>
      <c r="N97" s="40">
        <f>F97-лютий!F97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E98-лютий!E98</f>
        <v>0</v>
      </c>
      <c r="N98" s="40">
        <f>F98-лютий!F98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3880</v>
      </c>
      <c r="E99" s="41">
        <v>777</v>
      </c>
      <c r="F99" s="57">
        <v>913.85</v>
      </c>
      <c r="G99" s="49">
        <f t="shared" si="31"/>
        <v>136.85000000000002</v>
      </c>
      <c r="H99" s="40">
        <f>F99/E99*100</f>
        <v>117.61261261261262</v>
      </c>
      <c r="I99" s="56">
        <f t="shared" si="32"/>
        <v>-2966.15</v>
      </c>
      <c r="J99" s="56">
        <f>F99/D99*100</f>
        <v>23.552835051546392</v>
      </c>
      <c r="K99" s="56">
        <f>F99-730.6</f>
        <v>183.25</v>
      </c>
      <c r="L99" s="135">
        <f>F99/730.6</f>
        <v>1.2508212428141254</v>
      </c>
      <c r="M99" s="40">
        <f>E99-лютий!E99</f>
        <v>250</v>
      </c>
      <c r="N99" s="40">
        <f>F99-лютий!F99</f>
        <v>261.85</v>
      </c>
      <c r="O99" s="53">
        <f t="shared" si="33"/>
        <v>11.850000000000023</v>
      </c>
      <c r="P99" s="56">
        <f>N99/M99*100</f>
        <v>104.74000000000001</v>
      </c>
      <c r="Q99" s="56">
        <f>N99-242.1</f>
        <v>19.75000000000003</v>
      </c>
      <c r="R99" s="135">
        <f>N99/242.1</f>
        <v>1.0815778603882695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E100-лютий!E100</f>
        <v>0</v>
      </c>
      <c r="N100" s="40">
        <f>F100-лютий!F100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E101-лютий!E101</f>
        <v>0</v>
      </c>
      <c r="N101" s="40">
        <f>F101-лютий!F101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172.57</v>
      </c>
      <c r="G102" s="144"/>
      <c r="H102" s="146"/>
      <c r="I102" s="145"/>
      <c r="J102" s="145"/>
      <c r="K102" s="148">
        <f>F102-88.6</f>
        <v>83.97</v>
      </c>
      <c r="L102" s="149">
        <f>F102/88.6</f>
        <v>1.9477426636568849</v>
      </c>
      <c r="M102" s="40">
        <f>E102-лютий!E102</f>
        <v>0</v>
      </c>
      <c r="N102" s="40">
        <f>F102-лютий!F102</f>
        <v>42.47999999999999</v>
      </c>
      <c r="O102" s="53"/>
      <c r="P102" s="60"/>
      <c r="Q102" s="60">
        <f>N102-31.4</f>
        <v>11.079999999999991</v>
      </c>
      <c r="R102" s="135">
        <f>N102/31.4</f>
        <v>1.3528662420382163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24.5</v>
      </c>
      <c r="F103" s="57">
        <v>13.19</v>
      </c>
      <c r="G103" s="49"/>
      <c r="H103" s="40"/>
      <c r="I103" s="56">
        <f aca="true" t="shared" si="34" ref="I103:I110">F103-D103</f>
        <v>-52.31</v>
      </c>
      <c r="J103" s="56"/>
      <c r="K103" s="56">
        <f>F103-24.2</f>
        <v>-11.01</v>
      </c>
      <c r="L103" s="135">
        <f>F103/24.2</f>
        <v>0.5450413223140496</v>
      </c>
      <c r="M103" s="40">
        <f>E103-лютий!E103</f>
        <v>24.5</v>
      </c>
      <c r="N103" s="40">
        <f>F103-лютий!F103</f>
        <v>13.19</v>
      </c>
      <c r="O103" s="53">
        <f aca="true" t="shared" si="35" ref="O103:O109">N103-M103</f>
        <v>-11.31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6.2</v>
      </c>
      <c r="F104" s="57">
        <v>5.91</v>
      </c>
      <c r="G104" s="49">
        <f>F104-E104</f>
        <v>-0.29000000000000004</v>
      </c>
      <c r="H104" s="40"/>
      <c r="I104" s="56">
        <f t="shared" si="34"/>
        <v>-39.09</v>
      </c>
      <c r="J104" s="56">
        <f aca="true" t="shared" si="36" ref="J104:J109">F104/D104*100</f>
        <v>13.133333333333333</v>
      </c>
      <c r="K104" s="56">
        <f>F104-12.1</f>
        <v>-6.1899999999999995</v>
      </c>
      <c r="L104" s="135">
        <f>F104/12.1</f>
        <v>0.4884297520661157</v>
      </c>
      <c r="M104" s="40">
        <f>E104-лютий!E104</f>
        <v>2</v>
      </c>
      <c r="N104" s="40">
        <f>F104-лютий!F104</f>
        <v>3.23</v>
      </c>
      <c r="O104" s="53">
        <f t="shared" si="35"/>
        <v>1.23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E105-лютий!E105</f>
        <v>0</v>
      </c>
      <c r="N105" s="40">
        <f>F105-лютий!F105</f>
        <v>0.03</v>
      </c>
      <c r="O105" s="53">
        <f t="shared" si="35"/>
        <v>0.03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118076.10000000002</v>
      </c>
      <c r="F106" s="22">
        <f>F8+F74+F104+F105</f>
        <v>110734.51000000001</v>
      </c>
      <c r="G106" s="50">
        <f>F106-E106</f>
        <v>-7341.590000000011</v>
      </c>
      <c r="H106" s="51">
        <f>F106/E106*100</f>
        <v>93.78232343378549</v>
      </c>
      <c r="I106" s="36">
        <f t="shared" si="34"/>
        <v>-426305.39</v>
      </c>
      <c r="J106" s="36">
        <f t="shared" si="36"/>
        <v>20.61941952543936</v>
      </c>
      <c r="K106" s="36">
        <f>F106-114781.4</f>
        <v>-4046.889999999985</v>
      </c>
      <c r="L106" s="136">
        <f>F106/114781.4</f>
        <v>0.9647426325171152</v>
      </c>
      <c r="M106" s="22">
        <f>M8+M74+M104+M105</f>
        <v>42140.10000000001</v>
      </c>
      <c r="N106" s="22">
        <f>N8+N74+N104+N105</f>
        <v>39314.05000000001</v>
      </c>
      <c r="O106" s="55">
        <f t="shared" si="35"/>
        <v>-2826.050000000003</v>
      </c>
      <c r="P106" s="36">
        <f>N106/M106*100</f>
        <v>93.29367989159968</v>
      </c>
      <c r="Q106" s="36">
        <f>N106-39480.5</f>
        <v>-166.4499999999898</v>
      </c>
      <c r="R106" s="136">
        <f>N106/39480.5</f>
        <v>0.9957839946302608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93681.1</v>
      </c>
      <c r="F107" s="71">
        <f>F10-F18+F96</f>
        <v>86245.48</v>
      </c>
      <c r="G107" s="71">
        <f>G10-G18+G96</f>
        <v>-7435.620000000005</v>
      </c>
      <c r="H107" s="72">
        <f>F107/E107*100</f>
        <v>92.06283871560004</v>
      </c>
      <c r="I107" s="52">
        <f t="shared" si="34"/>
        <v>-333320.72000000003</v>
      </c>
      <c r="J107" s="52">
        <f t="shared" si="36"/>
        <v>20.55586937174634</v>
      </c>
      <c r="K107" s="52">
        <f>F107-85425.6</f>
        <v>819.8799999999901</v>
      </c>
      <c r="L107" s="137">
        <f>F107/85425.6</f>
        <v>1.009597591354348</v>
      </c>
      <c r="M107" s="71">
        <f>M10-M18+M96</f>
        <v>33666.40000000001</v>
      </c>
      <c r="N107" s="71">
        <f>N10-N18+N96</f>
        <v>31372.950000000004</v>
      </c>
      <c r="O107" s="53">
        <f t="shared" si="35"/>
        <v>-2293.4500000000044</v>
      </c>
      <c r="P107" s="52">
        <f>N107/M107*100</f>
        <v>93.18771831856093</v>
      </c>
      <c r="Q107" s="52">
        <f>N107-30211.8</f>
        <v>1161.150000000005</v>
      </c>
      <c r="R107" s="137">
        <f>N107/30211.8</f>
        <v>1.0384336583718945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24395.000000000015</v>
      </c>
      <c r="F108" s="71">
        <f>F106-F107</f>
        <v>24489.030000000013</v>
      </c>
      <c r="G108" s="62">
        <f>F108-E108</f>
        <v>94.02999999999884</v>
      </c>
      <c r="H108" s="72">
        <f>F108/E108*100</f>
        <v>100.38544783767165</v>
      </c>
      <c r="I108" s="52">
        <f t="shared" si="34"/>
        <v>-92984.67</v>
      </c>
      <c r="J108" s="52">
        <f t="shared" si="36"/>
        <v>20.846393703441716</v>
      </c>
      <c r="K108" s="52">
        <f>F108-29355.8</f>
        <v>-4866.769999999986</v>
      </c>
      <c r="L108" s="137">
        <f>F108/29355.8</f>
        <v>0.8342143630900883</v>
      </c>
      <c r="M108" s="71">
        <f>M106-M107</f>
        <v>8473.700000000004</v>
      </c>
      <c r="N108" s="71">
        <f>N106-N107</f>
        <v>7941.100000000006</v>
      </c>
      <c r="O108" s="53">
        <f t="shared" si="35"/>
        <v>-532.5999999999985</v>
      </c>
      <c r="P108" s="52">
        <f>N108/M108*100</f>
        <v>93.71467009688804</v>
      </c>
      <c r="Q108" s="52">
        <f>N108-9268.6</f>
        <v>-1327.4999999999945</v>
      </c>
      <c r="R108" s="137">
        <f>N108/9268.6</f>
        <v>0.856774485898626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88311.2</v>
      </c>
      <c r="F109" s="71">
        <f>F107</f>
        <v>86245.48</v>
      </c>
      <c r="G109" s="111">
        <f>F109-E109</f>
        <v>-2065.720000000001</v>
      </c>
      <c r="H109" s="72">
        <f>F109/E109*100</f>
        <v>97.660862948301</v>
      </c>
      <c r="I109" s="81">
        <f t="shared" si="34"/>
        <v>-301967.72000000003</v>
      </c>
      <c r="J109" s="52">
        <f t="shared" si="36"/>
        <v>22.21600914136871</v>
      </c>
      <c r="K109" s="52"/>
      <c r="L109" s="137"/>
      <c r="M109" s="122">
        <f>E109-лютий!E109</f>
        <v>31372.899999999994</v>
      </c>
      <c r="N109" s="71">
        <f>N107</f>
        <v>31372.950000000004</v>
      </c>
      <c r="O109" s="118">
        <f t="shared" si="35"/>
        <v>0.05000000001018634</v>
      </c>
      <c r="P109" s="52">
        <f>N109/M109*100</f>
        <v>100.00015937321704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87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>
        <f>E110-лютий!E110</f>
        <v>1650.9652999999998</v>
      </c>
      <c r="N110" s="71">
        <f>F110-лютий!F110</f>
        <v>1650.9652999999998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215</v>
      </c>
      <c r="C111" s="93"/>
      <c r="D111" s="84"/>
      <c r="E111" s="111">
        <f>0-лютий!G109</f>
        <v>2065.770000000004</v>
      </c>
      <c r="F111" s="84">
        <v>0</v>
      </c>
      <c r="G111" s="62">
        <f>F111-E111</f>
        <v>-2065.770000000004</v>
      </c>
      <c r="H111" s="72"/>
      <c r="I111" s="85"/>
      <c r="J111" s="52"/>
      <c r="K111" s="52"/>
      <c r="L111" s="137"/>
      <c r="M111" s="159">
        <f>E111</f>
        <v>2065.770000000004</v>
      </c>
      <c r="N111" s="84">
        <v>0</v>
      </c>
      <c r="O111" s="118">
        <f>N111-M111</f>
        <v>-2065.770000000004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-2.88</v>
      </c>
      <c r="G113" s="49">
        <f aca="true" t="shared" si="37" ref="G113:G125">F113-E113</f>
        <v>-2.88</v>
      </c>
      <c r="H113" s="40"/>
      <c r="I113" s="60">
        <f aca="true" t="shared" si="38" ref="I113:I124">F113-D113</f>
        <v>-2.88</v>
      </c>
      <c r="J113" s="60"/>
      <c r="K113" s="60">
        <f>F113-4.6</f>
        <v>-7.4799999999999995</v>
      </c>
      <c r="L113" s="138">
        <f>F113/4.6</f>
        <v>-0.6260869565217392</v>
      </c>
      <c r="M113" s="40">
        <f>E113-лютий!E113</f>
        <v>0</v>
      </c>
      <c r="N113" s="40">
        <f>F113-лютий!F113</f>
        <v>-0.27</v>
      </c>
      <c r="O113" s="53"/>
      <c r="P113" s="60"/>
      <c r="Q113" s="60">
        <f>N113-0.5</f>
        <v>-0.77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714.6</v>
      </c>
      <c r="F114" s="32">
        <v>283.65</v>
      </c>
      <c r="G114" s="49">
        <f t="shared" si="37"/>
        <v>-430.95000000000005</v>
      </c>
      <c r="H114" s="40">
        <f aca="true" t="shared" si="39" ref="H114:H125">F114/E114*100</f>
        <v>39.69353484466834</v>
      </c>
      <c r="I114" s="60">
        <f t="shared" si="38"/>
        <v>-3387.85</v>
      </c>
      <c r="J114" s="60">
        <f aca="true" t="shared" si="40" ref="J114:J120">F114/D114*100</f>
        <v>7.72572518044396</v>
      </c>
      <c r="K114" s="60">
        <f>F114-834.4</f>
        <v>-550.75</v>
      </c>
      <c r="L114" s="138">
        <f>F114/834.4</f>
        <v>0.3399448705656759</v>
      </c>
      <c r="M114" s="40">
        <f>E114-лютий!E114</f>
        <v>327.5</v>
      </c>
      <c r="N114" s="40">
        <f>F114-лютий!F114</f>
        <v>104.40999999999997</v>
      </c>
      <c r="O114" s="53">
        <f aca="true" t="shared" si="41" ref="O114:O125">N114-M114</f>
        <v>-223.09000000000003</v>
      </c>
      <c r="P114" s="60">
        <f>N114/M114*100</f>
        <v>31.88091603053434</v>
      </c>
      <c r="Q114" s="60">
        <f>N114-228.9</f>
        <v>-124.49000000000004</v>
      </c>
      <c r="R114" s="138">
        <f>N114/228.9</f>
        <v>0.45613805155089543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68.5</v>
      </c>
      <c r="F115" s="32">
        <v>70.69</v>
      </c>
      <c r="G115" s="49">
        <f t="shared" si="37"/>
        <v>2.1899999999999977</v>
      </c>
      <c r="H115" s="40">
        <f t="shared" si="39"/>
        <v>103.19708029197079</v>
      </c>
      <c r="I115" s="60">
        <f t="shared" si="38"/>
        <v>-197.41000000000003</v>
      </c>
      <c r="J115" s="60">
        <f t="shared" si="40"/>
        <v>26.367027228646023</v>
      </c>
      <c r="K115" s="60">
        <f>F115-63.4</f>
        <v>7.289999999999999</v>
      </c>
      <c r="L115" s="138">
        <f>F115/63.4</f>
        <v>1.1149842271293375</v>
      </c>
      <c r="M115" s="40">
        <f>E115-лютий!E115</f>
        <v>22</v>
      </c>
      <c r="N115" s="40">
        <f>F115-лютий!F115</f>
        <v>24</v>
      </c>
      <c r="O115" s="53">
        <f t="shared" si="41"/>
        <v>2</v>
      </c>
      <c r="P115" s="60">
        <f>N115/M115*100</f>
        <v>109.09090909090908</v>
      </c>
      <c r="Q115" s="60">
        <f>N115-24.1</f>
        <v>-0.10000000000000142</v>
      </c>
      <c r="R115" s="138">
        <f>N115/24.1</f>
        <v>0.9958506224066389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783.1</v>
      </c>
      <c r="F116" s="38">
        <f>SUM(F113:F115)</f>
        <v>351.46</v>
      </c>
      <c r="G116" s="62">
        <f t="shared" si="37"/>
        <v>-431.64000000000004</v>
      </c>
      <c r="H116" s="72">
        <f t="shared" si="39"/>
        <v>44.88060273272889</v>
      </c>
      <c r="I116" s="61">
        <f t="shared" si="38"/>
        <v>-3588.14</v>
      </c>
      <c r="J116" s="61">
        <f t="shared" si="40"/>
        <v>8.921210275154838</v>
      </c>
      <c r="K116" s="61">
        <f>F116-902.4</f>
        <v>-550.94</v>
      </c>
      <c r="L116" s="139">
        <f>F116/902.4</f>
        <v>0.38947251773049646</v>
      </c>
      <c r="M116" s="62">
        <f>M114+M115+M113</f>
        <v>349.5</v>
      </c>
      <c r="N116" s="38">
        <f>SUM(N113:N115)</f>
        <v>128.14</v>
      </c>
      <c r="O116" s="61">
        <f t="shared" si="41"/>
        <v>-221.36</v>
      </c>
      <c r="P116" s="61">
        <f>N116/M116*100</f>
        <v>36.66380543633762</v>
      </c>
      <c r="Q116" s="61">
        <f>N116-253.5</f>
        <v>-125.36000000000001</v>
      </c>
      <c r="R116" s="139">
        <f>N116/253.5</f>
        <v>0.5054832347140039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101.47</v>
      </c>
      <c r="G118" s="49">
        <f t="shared" si="37"/>
        <v>101.47</v>
      </c>
      <c r="H118" s="40" t="e">
        <f t="shared" si="39"/>
        <v>#DIV/0!</v>
      </c>
      <c r="I118" s="60">
        <f t="shared" si="38"/>
        <v>101.47</v>
      </c>
      <c r="J118" s="60" t="e">
        <f t="shared" si="40"/>
        <v>#DIV/0!</v>
      </c>
      <c r="K118" s="60">
        <f>F118-7.7</f>
        <v>93.77</v>
      </c>
      <c r="L118" s="138">
        <f>F118/7.7</f>
        <v>13.177922077922078</v>
      </c>
      <c r="M118" s="40">
        <f>E118-лютий!E118</f>
        <v>0</v>
      </c>
      <c r="N118" s="40">
        <f>F118-лютий!F118</f>
        <v>44.08</v>
      </c>
      <c r="O118" s="53" t="s">
        <v>166</v>
      </c>
      <c r="P118" s="60"/>
      <c r="Q118" s="60">
        <f>N118-2.5</f>
        <v>41.58</v>
      </c>
      <c r="R118" s="138">
        <f>N118/2.5</f>
        <v>17.631999999999998</v>
      </c>
    </row>
    <row r="119" spans="2:18" s="48" customFormat="1" ht="22.5" customHeight="1">
      <c r="B119" s="15" t="s">
        <v>139</v>
      </c>
      <c r="C119" s="108">
        <v>18050000</v>
      </c>
      <c r="D119" s="33">
        <v>25987.385</v>
      </c>
      <c r="E119" s="33">
        <v>18612.6</v>
      </c>
      <c r="F119" s="33">
        <v>19695.04</v>
      </c>
      <c r="G119" s="49">
        <f t="shared" si="37"/>
        <v>1082.4400000000023</v>
      </c>
      <c r="H119" s="40">
        <f t="shared" si="39"/>
        <v>105.81563027196633</v>
      </c>
      <c r="I119" s="53">
        <f t="shared" si="38"/>
        <v>-6292.3449999999975</v>
      </c>
      <c r="J119" s="60">
        <f t="shared" si="40"/>
        <v>75.78692507922595</v>
      </c>
      <c r="K119" s="60">
        <f>F119-17244.2</f>
        <v>2450.84</v>
      </c>
      <c r="L119" s="138">
        <f>F119/17244.2</f>
        <v>1.1421254682733906</v>
      </c>
      <c r="M119" s="40">
        <f>E119-лютий!E119</f>
        <v>3092.999999999998</v>
      </c>
      <c r="N119" s="40">
        <f>F119-лютий!F119</f>
        <v>2813.7000000000007</v>
      </c>
      <c r="O119" s="53">
        <f t="shared" si="41"/>
        <v>-279.29999999999745</v>
      </c>
      <c r="P119" s="60">
        <f aca="true" t="shared" si="42" ref="P119:P124">N119/M119*100</f>
        <v>90.96993210475274</v>
      </c>
      <c r="Q119" s="60">
        <f>N119-2792.9</f>
        <v>20.800000000000637</v>
      </c>
      <c r="R119" s="138">
        <f>N119/2792.9</f>
        <v>1.007447456049268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518.63</v>
      </c>
      <c r="G120" s="49">
        <f t="shared" si="37"/>
        <v>518.63</v>
      </c>
      <c r="H120" s="40" t="e">
        <f t="shared" si="39"/>
        <v>#DIV/0!</v>
      </c>
      <c r="I120" s="60">
        <f t="shared" si="38"/>
        <v>518.63</v>
      </c>
      <c r="J120" s="60" t="e">
        <f t="shared" si="40"/>
        <v>#DIV/0!</v>
      </c>
      <c r="K120" s="60">
        <f>F120-280.5</f>
        <v>238.13</v>
      </c>
      <c r="L120" s="138">
        <f>F120/230.5</f>
        <v>2.2500216919739695</v>
      </c>
      <c r="M120" s="40">
        <f>E120-лютий!E120</f>
        <v>0</v>
      </c>
      <c r="N120" s="40">
        <f>F120-лютий!F120</f>
        <v>42.73000000000002</v>
      </c>
      <c r="O120" s="53">
        <f t="shared" si="41"/>
        <v>42.73000000000002</v>
      </c>
      <c r="P120" s="60" t="e">
        <f t="shared" si="42"/>
        <v>#DIV/0!</v>
      </c>
      <c r="Q120" s="60">
        <f>N120-0</f>
        <v>42.73000000000002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0</v>
      </c>
      <c r="E121" s="33">
        <v>0</v>
      </c>
      <c r="F121" s="33">
        <v>1143.96</v>
      </c>
      <c r="G121" s="49">
        <f t="shared" si="37"/>
        <v>1143.96</v>
      </c>
      <c r="H121" s="40" t="e">
        <f t="shared" si="39"/>
        <v>#DIV/0!</v>
      </c>
      <c r="I121" s="60">
        <f t="shared" si="38"/>
        <v>1143.96</v>
      </c>
      <c r="J121" s="60" t="e">
        <f>F121/D121*100</f>
        <v>#DIV/0!</v>
      </c>
      <c r="K121" s="60">
        <f>F121-6993.4</f>
        <v>-5849.44</v>
      </c>
      <c r="L121" s="138">
        <f>F121/6993.4</f>
        <v>0.16357708696771242</v>
      </c>
      <c r="M121" s="40">
        <f>E121-лютий!E121</f>
        <v>0</v>
      </c>
      <c r="N121" s="40">
        <f>F121-лютий!F121</f>
        <v>100.78999999999996</v>
      </c>
      <c r="O121" s="53">
        <f t="shared" si="41"/>
        <v>100.78999999999996</v>
      </c>
      <c r="P121" s="60" t="e">
        <f t="shared" si="42"/>
        <v>#DIV/0!</v>
      </c>
      <c r="Q121" s="60">
        <f>N121-6463.4</f>
        <v>-6362.61</v>
      </c>
      <c r="R121" s="138">
        <f>N121/6463.4</f>
        <v>0.015593959835380755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463.92</v>
      </c>
      <c r="G122" s="49">
        <f t="shared" si="37"/>
        <v>463.92</v>
      </c>
      <c r="H122" s="40" t="e">
        <f t="shared" si="39"/>
        <v>#DIV/0!</v>
      </c>
      <c r="I122" s="60">
        <f t="shared" si="38"/>
        <v>463.92</v>
      </c>
      <c r="J122" s="60" t="e">
        <f>F122/D122*100</f>
        <v>#DIV/0!</v>
      </c>
      <c r="K122" s="60">
        <f>F122-314.5</f>
        <v>149.42000000000002</v>
      </c>
      <c r="L122" s="138">
        <f>F122/314.5</f>
        <v>1.4751033386327503</v>
      </c>
      <c r="M122" s="40">
        <f>E122-лютий!E122</f>
        <v>0</v>
      </c>
      <c r="N122" s="40">
        <f>F122-лютий!F122</f>
        <v>376.52</v>
      </c>
      <c r="O122" s="53">
        <f t="shared" si="41"/>
        <v>376.52</v>
      </c>
      <c r="P122" s="60" t="e">
        <f t="shared" si="42"/>
        <v>#DIV/0!</v>
      </c>
      <c r="Q122" s="60">
        <f>N122-7.7</f>
        <v>368.82</v>
      </c>
      <c r="R122" s="138">
        <f>N122/7.7</f>
        <v>48.8987012987013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18612.6</v>
      </c>
      <c r="F123" s="38">
        <f>F119+F120+F121+F122+F118</f>
        <v>21923.02</v>
      </c>
      <c r="G123" s="62">
        <f t="shared" si="37"/>
        <v>3310.420000000002</v>
      </c>
      <c r="H123" s="72">
        <f t="shared" si="39"/>
        <v>117.78590847060595</v>
      </c>
      <c r="I123" s="61">
        <f t="shared" si="38"/>
        <v>-4064.364999999998</v>
      </c>
      <c r="J123" s="61">
        <f>F123/D123*100</f>
        <v>84.36023863116662</v>
      </c>
      <c r="K123" s="61">
        <f>F123-24840.3</f>
        <v>-2917.279999999999</v>
      </c>
      <c r="L123" s="139">
        <f>F123/24840.3</f>
        <v>0.8825585842361002</v>
      </c>
      <c r="M123" s="62">
        <f>M119+M120+M121+M122+M118</f>
        <v>3092.999999999998</v>
      </c>
      <c r="N123" s="62">
        <f>N119+N120+N121+N122+N118</f>
        <v>3377.8200000000006</v>
      </c>
      <c r="O123" s="61">
        <f t="shared" si="41"/>
        <v>284.82000000000244</v>
      </c>
      <c r="P123" s="61">
        <f t="shared" si="42"/>
        <v>109.20853540252192</v>
      </c>
      <c r="Q123" s="61">
        <f>N123-9266.6</f>
        <v>-5888.78</v>
      </c>
      <c r="R123" s="139">
        <f>N123/9266.6</f>
        <v>0.36451557205447527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8.16</v>
      </c>
      <c r="F124" s="33">
        <v>4.36</v>
      </c>
      <c r="G124" s="49">
        <f t="shared" si="37"/>
        <v>-3.8</v>
      </c>
      <c r="H124" s="40">
        <f t="shared" si="39"/>
        <v>53.431372549019606</v>
      </c>
      <c r="I124" s="60">
        <f t="shared" si="38"/>
        <v>-39.14</v>
      </c>
      <c r="J124" s="60">
        <f>F124/D124*100</f>
        <v>10.022988505747128</v>
      </c>
      <c r="K124" s="60">
        <f>F124-97</f>
        <v>-92.64</v>
      </c>
      <c r="L124" s="138">
        <f>F124/97</f>
        <v>0.044948453608247424</v>
      </c>
      <c r="M124" s="40">
        <f>E124-лютий!E124</f>
        <v>3</v>
      </c>
      <c r="N124" s="40">
        <f>F124-лютий!F124</f>
        <v>4.2</v>
      </c>
      <c r="O124" s="53">
        <f t="shared" si="41"/>
        <v>1.2000000000000002</v>
      </c>
      <c r="P124" s="60">
        <f t="shared" si="42"/>
        <v>140</v>
      </c>
      <c r="Q124" s="60">
        <f>N124-70.5</f>
        <v>-66.3</v>
      </c>
      <c r="R124" s="138">
        <f>N124/70.5</f>
        <v>0.059574468085106386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E125-лютий!E125</f>
        <v>0</v>
      </c>
      <c r="N125" s="40">
        <f>F125-лютий!F125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E126-лютий!E126</f>
        <v>0</v>
      </c>
      <c r="N126" s="40">
        <f>F126-лютий!F126</f>
        <v>0</v>
      </c>
      <c r="O126" s="53"/>
      <c r="P126" s="63"/>
      <c r="Q126" s="63">
        <f>N126-0</f>
        <v>0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2603.75</v>
      </c>
      <c r="G127" s="49">
        <f aca="true" t="shared" si="43" ref="G127:G134">F127-E127</f>
        <v>96.25</v>
      </c>
      <c r="H127" s="40">
        <f>F127/E127*100</f>
        <v>103.83848454636092</v>
      </c>
      <c r="I127" s="60">
        <f aca="true" t="shared" si="44" ref="I127:I134">F127-D127</f>
        <v>-6096.25</v>
      </c>
      <c r="J127" s="60">
        <f>F127/D127*100</f>
        <v>29.928160919540232</v>
      </c>
      <c r="K127" s="60">
        <f>F127-2439.6</f>
        <v>164.1500000000001</v>
      </c>
      <c r="L127" s="138">
        <f>F127/2439.6</f>
        <v>1.06728562059354</v>
      </c>
      <c r="M127" s="40">
        <f>E127-лютий!E127</f>
        <v>0</v>
      </c>
      <c r="N127" s="40">
        <f>F127-лютий!F127</f>
        <v>-880.8899999999999</v>
      </c>
      <c r="O127" s="53">
        <f aca="true" t="shared" si="45" ref="O127:O134">N127-M127</f>
        <v>-880.8899999999999</v>
      </c>
      <c r="P127" s="60" t="e">
        <f>N127/M127*100</f>
        <v>#DIV/0!</v>
      </c>
      <c r="Q127" s="60">
        <f>N127-0.4</f>
        <v>-881.2899999999998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-0.36</v>
      </c>
      <c r="G128" s="49">
        <f t="shared" si="43"/>
        <v>-0.36</v>
      </c>
      <c r="H128" s="40"/>
      <c r="I128" s="60">
        <f t="shared" si="44"/>
        <v>-0.36</v>
      </c>
      <c r="J128" s="60"/>
      <c r="K128" s="60">
        <f>F128-(-0.8)</f>
        <v>0.44000000000000006</v>
      </c>
      <c r="L128" s="138">
        <f>F128/(-0.8)</f>
        <v>0.44999999999999996</v>
      </c>
      <c r="M128" s="40">
        <f>E128-лютий!E128</f>
        <v>0</v>
      </c>
      <c r="N128" s="40">
        <f>F128-лютий!F128</f>
        <v>-0.12999999999999998</v>
      </c>
      <c r="O128" s="53">
        <f t="shared" si="45"/>
        <v>-0.12999999999999998</v>
      </c>
      <c r="P128" s="60"/>
      <c r="Q128" s="60">
        <f>N128-(-0.1)</f>
        <v>-0.02999999999999997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2522.8599999999997</v>
      </c>
      <c r="F129" s="38">
        <f>F127+F124+F128+F126</f>
        <v>2616.51</v>
      </c>
      <c r="G129" s="62">
        <f t="shared" si="43"/>
        <v>93.65000000000055</v>
      </c>
      <c r="H129" s="72">
        <f>F129/E129*100</f>
        <v>103.71205695123791</v>
      </c>
      <c r="I129" s="61">
        <f t="shared" si="44"/>
        <v>-6134.1900000000005</v>
      </c>
      <c r="J129" s="61">
        <f>F129/D129*100</f>
        <v>29.900579382220847</v>
      </c>
      <c r="K129" s="61">
        <f>F129-2544.3</f>
        <v>72.21000000000004</v>
      </c>
      <c r="L129" s="139">
        <f>G129/2544.3</f>
        <v>0.03680776637975103</v>
      </c>
      <c r="M129" s="62">
        <f>M124+M127+M128+M126</f>
        <v>3</v>
      </c>
      <c r="N129" s="62">
        <f>N124+N127+N128+N126</f>
        <v>-876.8199999999998</v>
      </c>
      <c r="O129" s="61">
        <f t="shared" si="45"/>
        <v>-879.8199999999998</v>
      </c>
      <c r="P129" s="61">
        <f>N129/M129*100</f>
        <v>-29227.333333333325</v>
      </c>
      <c r="Q129" s="61">
        <f>N129-69.8</f>
        <v>-946.6199999999998</v>
      </c>
      <c r="R129" s="137">
        <f>N129/69.8</f>
        <v>-12.561891117478508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7.85</v>
      </c>
      <c r="F130" s="33">
        <v>10.97</v>
      </c>
      <c r="G130" s="49">
        <f>F130-E130</f>
        <v>3.120000000000001</v>
      </c>
      <c r="H130" s="40">
        <f>F130/E130*100</f>
        <v>139.74522292993632</v>
      </c>
      <c r="I130" s="60">
        <f>F130-D130</f>
        <v>-19.03</v>
      </c>
      <c r="J130" s="60">
        <f>F130/D130*100</f>
        <v>36.56666666666667</v>
      </c>
      <c r="K130" s="60">
        <f>F130-8.4</f>
        <v>2.5700000000000003</v>
      </c>
      <c r="L130" s="138">
        <f>F130/8.4</f>
        <v>1.305952380952381</v>
      </c>
      <c r="M130" s="40">
        <f>E130-лютий!E130</f>
        <v>7</v>
      </c>
      <c r="N130" s="40">
        <f>F130-лютий!F130</f>
        <v>8.99</v>
      </c>
      <c r="O130" s="53">
        <f>N130-M130</f>
        <v>1.9900000000000002</v>
      </c>
      <c r="P130" s="60">
        <f>N130/M130*100</f>
        <v>128.42857142857142</v>
      </c>
      <c r="Q130" s="60">
        <f>N130-7.3</f>
        <v>1.6900000000000004</v>
      </c>
      <c r="R130" s="138">
        <f>N130/7.3</f>
        <v>1.2315068493150685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E131-лютий!E131</f>
        <v>0</v>
      </c>
      <c r="N131" s="40">
        <f>F131-лютий!F131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E132-лютий!E132</f>
        <v>0</v>
      </c>
      <c r="N132" s="40">
        <f>F132-лютий!F132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21926.41</v>
      </c>
      <c r="F133" s="31">
        <f>F116+F130+F123+F129+F132+F131</f>
        <v>24901.96</v>
      </c>
      <c r="G133" s="50">
        <f t="shared" si="43"/>
        <v>2975.5499999999993</v>
      </c>
      <c r="H133" s="51">
        <f>F133/E133*100</f>
        <v>113.57062099997218</v>
      </c>
      <c r="I133" s="36">
        <f t="shared" si="44"/>
        <v>-13805.724999999999</v>
      </c>
      <c r="J133" s="36">
        <f>F133/D133*100</f>
        <v>64.33337462573647</v>
      </c>
      <c r="K133" s="36">
        <f>F133-28295.3</f>
        <v>-3393.34</v>
      </c>
      <c r="L133" s="136">
        <f>F133/28295.3</f>
        <v>0.8800740759065994</v>
      </c>
      <c r="M133" s="31">
        <f>M116+M130+M123+M129+M132+M131</f>
        <v>3452.499999999998</v>
      </c>
      <c r="N133" s="31">
        <f>N116+N130+N123+N129+N132+N131</f>
        <v>2638.130000000001</v>
      </c>
      <c r="O133" s="36">
        <f t="shared" si="45"/>
        <v>-814.3699999999972</v>
      </c>
      <c r="P133" s="36">
        <f>N133/M133*100</f>
        <v>76.41216509775532</v>
      </c>
      <c r="Q133" s="36">
        <f>N133-9597.2</f>
        <v>-6959.07</v>
      </c>
      <c r="R133" s="136">
        <f>N133/9597.2</f>
        <v>0.27488538323677747</v>
      </c>
    </row>
    <row r="134" spans="2:18" ht="30.75" customHeight="1">
      <c r="B134" s="28" t="s">
        <v>115</v>
      </c>
      <c r="C134" s="96"/>
      <c r="D134" s="31">
        <f>D106+D133</f>
        <v>575747.585</v>
      </c>
      <c r="E134" s="31">
        <f>E106+E133</f>
        <v>140002.51</v>
      </c>
      <c r="F134" s="31">
        <f>F106+F133</f>
        <v>135636.47</v>
      </c>
      <c r="G134" s="50">
        <f t="shared" si="43"/>
        <v>-4366.040000000008</v>
      </c>
      <c r="H134" s="51">
        <f>F134/E134*100</f>
        <v>96.88145591104045</v>
      </c>
      <c r="I134" s="36">
        <f t="shared" si="44"/>
        <v>-440111.115</v>
      </c>
      <c r="J134" s="36">
        <f>F134/D134*100</f>
        <v>23.5583220032091</v>
      </c>
      <c r="K134" s="36">
        <f>F134-143076.7</f>
        <v>-7440.2300000000105</v>
      </c>
      <c r="L134" s="136">
        <f>F134/143076.7</f>
        <v>0.9479983113952166</v>
      </c>
      <c r="M134" s="22">
        <f>M106+M133</f>
        <v>45592.60000000001</v>
      </c>
      <c r="N134" s="22">
        <f>N106+N133</f>
        <v>41952.18000000001</v>
      </c>
      <c r="O134" s="36">
        <f t="shared" si="45"/>
        <v>-3640.4200000000055</v>
      </c>
      <c r="P134" s="36">
        <f>N134/M134*100</f>
        <v>92.01532704868771</v>
      </c>
      <c r="Q134" s="36">
        <f>N134-49077.7</f>
        <v>-7125.5199999999895</v>
      </c>
      <c r="R134" s="136">
        <f>N134/49077.7</f>
        <v>0.8548114520444114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8"/>
      <c r="H137" s="198"/>
      <c r="I137" s="198"/>
      <c r="J137" s="198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41729</v>
      </c>
      <c r="D138" s="39">
        <v>3624.3</v>
      </c>
      <c r="N138" s="193"/>
      <c r="O138" s="193"/>
    </row>
    <row r="139" spans="3:15" ht="15.75">
      <c r="C139" s="120">
        <v>41726</v>
      </c>
      <c r="D139" s="39">
        <v>4682.6</v>
      </c>
      <c r="F139" s="4" t="s">
        <v>166</v>
      </c>
      <c r="G139" s="189" t="s">
        <v>151</v>
      </c>
      <c r="H139" s="189"/>
      <c r="I139" s="115">
        <v>13825.22196</v>
      </c>
      <c r="J139" s="190" t="s">
        <v>161</v>
      </c>
      <c r="K139" s="190"/>
      <c r="L139" s="190"/>
      <c r="M139" s="190"/>
      <c r="N139" s="193"/>
      <c r="O139" s="193"/>
    </row>
    <row r="140" spans="3:15" ht="15.75">
      <c r="C140" s="120">
        <v>41725</v>
      </c>
      <c r="D140" s="39">
        <v>3360.7</v>
      </c>
      <c r="G140" s="191" t="s">
        <v>155</v>
      </c>
      <c r="H140" s="191"/>
      <c r="I140" s="112">
        <v>0</v>
      </c>
      <c r="J140" s="192" t="s">
        <v>162</v>
      </c>
      <c r="K140" s="192"/>
      <c r="L140" s="192"/>
      <c r="M140" s="192"/>
      <c r="N140" s="193"/>
      <c r="O140" s="193"/>
    </row>
    <row r="141" spans="7:13" ht="15.75" customHeight="1">
      <c r="G141" s="189" t="s">
        <v>148</v>
      </c>
      <c r="H141" s="189"/>
      <c r="I141" s="112">
        <v>0</v>
      </c>
      <c r="J141" s="190" t="s">
        <v>163</v>
      </c>
      <c r="K141" s="190"/>
      <c r="L141" s="190"/>
      <c r="M141" s="190"/>
    </row>
    <row r="142" spans="2:13" ht="18.75" customHeight="1">
      <c r="B142" s="187" t="s">
        <v>160</v>
      </c>
      <c r="C142" s="188"/>
      <c r="D142" s="117">
        <v>114985.02570999999</v>
      </c>
      <c r="E142" s="80"/>
      <c r="F142" s="100" t="s">
        <v>147</v>
      </c>
      <c r="G142" s="189" t="s">
        <v>149</v>
      </c>
      <c r="H142" s="189"/>
      <c r="I142" s="116">
        <v>101159.80375</v>
      </c>
      <c r="J142" s="190" t="s">
        <v>164</v>
      </c>
      <c r="K142" s="190"/>
      <c r="L142" s="190"/>
      <c r="M142" s="190"/>
    </row>
    <row r="143" spans="7:12" ht="9.75" customHeight="1">
      <c r="G143" s="183"/>
      <c r="H143" s="183"/>
      <c r="I143" s="98"/>
      <c r="J143" s="99"/>
      <c r="K143" s="99"/>
      <c r="L143" s="99"/>
    </row>
    <row r="144" spans="2:12" ht="22.5" customHeight="1">
      <c r="B144" s="184" t="s">
        <v>169</v>
      </c>
      <c r="C144" s="185"/>
      <c r="D144" s="119">
        <v>3918.1</v>
      </c>
      <c r="E144" s="77" t="s">
        <v>104</v>
      </c>
      <c r="G144" s="183"/>
      <c r="H144" s="183"/>
      <c r="I144" s="98"/>
      <c r="J144" s="99"/>
      <c r="K144" s="99"/>
      <c r="L144" s="99"/>
    </row>
    <row r="145" spans="4:15" ht="15.75">
      <c r="D145" s="114"/>
      <c r="N145" s="183"/>
      <c r="O145" s="183"/>
    </row>
    <row r="146" spans="4:15" ht="15.75">
      <c r="D146" s="113"/>
      <c r="I146" s="39"/>
      <c r="N146" s="186"/>
      <c r="O146" s="186"/>
    </row>
    <row r="147" spans="14:15" ht="15.75">
      <c r="N147" s="183"/>
      <c r="O147" s="183"/>
    </row>
  </sheetData>
  <mergeCells count="38">
    <mergeCell ref="N147:O147"/>
    <mergeCell ref="N3:R3"/>
    <mergeCell ref="K4:L5"/>
    <mergeCell ref="F3:L3"/>
    <mergeCell ref="Q4:R5"/>
    <mergeCell ref="N145:O145"/>
    <mergeCell ref="N146:O146"/>
    <mergeCell ref="N140:O140"/>
    <mergeCell ref="G141:H141"/>
    <mergeCell ref="J141:M141"/>
    <mergeCell ref="D3:E4"/>
    <mergeCell ref="M3:M4"/>
    <mergeCell ref="B144:C144"/>
    <mergeCell ref="G144:H144"/>
    <mergeCell ref="B142:C142"/>
    <mergeCell ref="G142:H142"/>
    <mergeCell ref="J142:M142"/>
    <mergeCell ref="G143:H143"/>
    <mergeCell ref="G140:H140"/>
    <mergeCell ref="J140:M140"/>
    <mergeCell ref="N138:O138"/>
    <mergeCell ref="G139:H139"/>
    <mergeCell ref="J139:M139"/>
    <mergeCell ref="N139:O139"/>
    <mergeCell ref="N4:N5"/>
    <mergeCell ref="O4:O5"/>
    <mergeCell ref="P4:P5"/>
    <mergeCell ref="G137:J137"/>
    <mergeCell ref="A1:P1"/>
    <mergeCell ref="B2:D2"/>
    <mergeCell ref="A3:A5"/>
    <mergeCell ref="B3:B5"/>
    <mergeCell ref="C3:C5"/>
    <mergeCell ref="F4:F5"/>
    <mergeCell ref="G4:G5"/>
    <mergeCell ref="H4:H5"/>
    <mergeCell ref="I4:I5"/>
    <mergeCell ref="J4:J5"/>
  </mergeCells>
  <printOptions/>
  <pageMargins left="0.4" right="0.18" top="0.26" bottom="0.36" header="0.17" footer="0.29"/>
  <pageSetup fitToHeight="1" fitToWidth="1" horizontalDpi="600" verticalDpi="600" orientation="portrait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I9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H102" sqref="H10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0.875" style="129" customWidth="1"/>
    <col min="19" max="16384" width="9.125" style="4" customWidth="1"/>
  </cols>
  <sheetData>
    <row r="1" spans="1:18" s="1" customFormat="1" ht="26.25" customHeight="1">
      <c r="A1" s="209" t="s">
        <v>193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126"/>
      <c r="R1" s="127"/>
    </row>
    <row r="2" spans="2:18" s="1" customFormat="1" ht="15.75" customHeight="1">
      <c r="B2" s="210"/>
      <c r="C2" s="210"/>
      <c r="D2" s="21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211"/>
      <c r="B3" s="176"/>
      <c r="C3" s="177" t="s">
        <v>0</v>
      </c>
      <c r="D3" s="227" t="s">
        <v>187</v>
      </c>
      <c r="E3" s="46"/>
      <c r="F3" s="228" t="s">
        <v>107</v>
      </c>
      <c r="G3" s="229"/>
      <c r="H3" s="229"/>
      <c r="I3" s="229"/>
      <c r="J3" s="230"/>
      <c r="K3" s="123"/>
      <c r="L3" s="123"/>
      <c r="M3" s="231" t="s">
        <v>190</v>
      </c>
      <c r="N3" s="222" t="s">
        <v>185</v>
      </c>
      <c r="O3" s="222"/>
      <c r="P3" s="222"/>
      <c r="Q3" s="222"/>
      <c r="R3" s="222"/>
    </row>
    <row r="4" spans="1:18" ht="22.5" customHeight="1">
      <c r="A4" s="211"/>
      <c r="B4" s="176"/>
      <c r="C4" s="177"/>
      <c r="D4" s="227"/>
      <c r="E4" s="232" t="s">
        <v>191</v>
      </c>
      <c r="F4" s="223" t="s">
        <v>116</v>
      </c>
      <c r="G4" s="225" t="s">
        <v>167</v>
      </c>
      <c r="H4" s="205" t="s">
        <v>168</v>
      </c>
      <c r="I4" s="220" t="s">
        <v>188</v>
      </c>
      <c r="J4" s="218" t="s">
        <v>189</v>
      </c>
      <c r="K4" s="125" t="s">
        <v>174</v>
      </c>
      <c r="L4" s="130" t="s">
        <v>173</v>
      </c>
      <c r="M4" s="231"/>
      <c r="N4" s="199" t="s">
        <v>194</v>
      </c>
      <c r="O4" s="220" t="s">
        <v>136</v>
      </c>
      <c r="P4" s="222" t="s">
        <v>135</v>
      </c>
      <c r="Q4" s="131" t="s">
        <v>174</v>
      </c>
      <c r="R4" s="132" t="s">
        <v>173</v>
      </c>
    </row>
    <row r="5" spans="1:18" ht="82.5" customHeight="1">
      <c r="A5" s="175"/>
      <c r="B5" s="176"/>
      <c r="C5" s="177"/>
      <c r="D5" s="227"/>
      <c r="E5" s="233"/>
      <c r="F5" s="224"/>
      <c r="G5" s="226"/>
      <c r="H5" s="206"/>
      <c r="I5" s="221"/>
      <c r="J5" s="219"/>
      <c r="K5" s="196" t="s">
        <v>184</v>
      </c>
      <c r="L5" s="197"/>
      <c r="M5" s="231"/>
      <c r="N5" s="200"/>
      <c r="O5" s="221"/>
      <c r="P5" s="222"/>
      <c r="Q5" s="196" t="s">
        <v>199</v>
      </c>
      <c r="R5" s="197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74064.8</v>
      </c>
      <c r="F8" s="22">
        <f>F10+F19+F33+F56+F68+F30</f>
        <v>69313.25000000001</v>
      </c>
      <c r="G8" s="22">
        <f aca="true" t="shared" si="0" ref="G8:G30">F8-E8</f>
        <v>-4751.549999999988</v>
      </c>
      <c r="H8" s="51">
        <f>F8/E8*100</f>
        <v>93.58460429245743</v>
      </c>
      <c r="I8" s="36">
        <f aca="true" t="shared" si="1" ref="I8:I17">F8-D8</f>
        <v>-450016.05</v>
      </c>
      <c r="J8" s="36">
        <f aca="true" t="shared" si="2" ref="J8:J14">F8/D8*100</f>
        <v>13.346685811873124</v>
      </c>
      <c r="K8" s="36">
        <f>F8-72579.4</f>
        <v>-3266.1499999999796</v>
      </c>
      <c r="L8" s="136">
        <f>F8/72579.4</f>
        <v>0.9549989390929109</v>
      </c>
      <c r="M8" s="22">
        <f>M10+M19+M33+M56+M68+M30</f>
        <v>38251.1</v>
      </c>
      <c r="N8" s="22">
        <f>N10+N19+N33+N56+N68+N30</f>
        <v>35565.090000000004</v>
      </c>
      <c r="O8" s="36">
        <f aca="true" t="shared" si="3" ref="O8:O71">N8-M8</f>
        <v>-2686.0099999999948</v>
      </c>
      <c r="P8" s="36">
        <f>F8/M8*100</f>
        <v>181.20589996104692</v>
      </c>
      <c r="Q8" s="36">
        <f>N8-38977.9</f>
        <v>-3412.8099999999977</v>
      </c>
      <c r="R8" s="134">
        <f>N8/38977.9</f>
        <v>0.9124424353287376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54745.99</v>
      </c>
      <c r="G9" s="22">
        <f t="shared" si="0"/>
        <v>54745.99</v>
      </c>
      <c r="H9" s="20"/>
      <c r="I9" s="56">
        <f t="shared" si="1"/>
        <v>-363620.21</v>
      </c>
      <c r="J9" s="56">
        <f t="shared" si="2"/>
        <v>13.08566275191447</v>
      </c>
      <c r="K9" s="56"/>
      <c r="L9" s="135"/>
      <c r="M9" s="20">
        <f>M10+M17</f>
        <v>31236.299999999996</v>
      </c>
      <c r="N9" s="20">
        <f>N10+N17</f>
        <v>28177.879999999997</v>
      </c>
      <c r="O9" s="36">
        <f t="shared" si="3"/>
        <v>-3058.4199999999983</v>
      </c>
      <c r="P9" s="56">
        <f>F9/M9*100</f>
        <v>175.26400373923929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59870.2</v>
      </c>
      <c r="F10" s="40">
        <v>54745.99</v>
      </c>
      <c r="G10" s="49">
        <f t="shared" si="0"/>
        <v>-5124.209999999999</v>
      </c>
      <c r="H10" s="40">
        <f aca="true" t="shared" si="4" ref="H10:H17">F10/E10*100</f>
        <v>91.44113432058019</v>
      </c>
      <c r="I10" s="56">
        <f t="shared" si="1"/>
        <v>-363620.21</v>
      </c>
      <c r="J10" s="56">
        <f t="shared" si="2"/>
        <v>13.08566275191447</v>
      </c>
      <c r="K10" s="141">
        <f>F10-55122.8</f>
        <v>-376.81000000000495</v>
      </c>
      <c r="L10" s="142">
        <f>F10/55122.8</f>
        <v>0.9931641716313394</v>
      </c>
      <c r="M10" s="40">
        <f>E10-'січень '!E10</f>
        <v>31236.299999999996</v>
      </c>
      <c r="N10" s="40">
        <f>F10-'січень '!F10</f>
        <v>28177.879999999997</v>
      </c>
      <c r="O10" s="53">
        <f t="shared" si="3"/>
        <v>-3058.4199999999983</v>
      </c>
      <c r="P10" s="56">
        <f aca="true" t="shared" si="5" ref="P10:P17">N10/M10*100</f>
        <v>90.20876352192802</v>
      </c>
      <c r="Q10" s="141">
        <f>N10-28390.4</f>
        <v>-212.52000000000407</v>
      </c>
      <c r="R10" s="142">
        <f>N10/28390.4</f>
        <v>0.9925143710550044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E11-'січень '!E11</f>
        <v>0</v>
      </c>
      <c r="N11" s="40">
        <f>F11-'січень '!F11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E12-'січень '!E12</f>
        <v>0</v>
      </c>
      <c r="N12" s="40">
        <f>F12-'січень '!F12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E13-'січень '!E13</f>
        <v>0</v>
      </c>
      <c r="N13" s="40">
        <f>F13-'січень '!F13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E14-'січень '!E14</f>
        <v>0</v>
      </c>
      <c r="N14" s="40">
        <f>F14-'січень '!F14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E15-'січень '!E15</f>
        <v>0</v>
      </c>
      <c r="N15" s="40">
        <f>F15-'січень '!F15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E16-'січень '!E16</f>
        <v>0</v>
      </c>
      <c r="N16" s="40">
        <f>F16-'січень '!F16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E17-'січень '!E17</f>
        <v>0</v>
      </c>
      <c r="N17" s="40">
        <f>F17-'січень '!F17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E18-'січень '!E18</f>
        <v>0</v>
      </c>
      <c r="N18" s="40">
        <f>F18-'січень '!F18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717.6</v>
      </c>
      <c r="F19" s="40">
        <v>739.11</v>
      </c>
      <c r="G19" s="49">
        <f t="shared" si="0"/>
        <v>21.50999999999999</v>
      </c>
      <c r="H19" s="40">
        <f aca="true" t="shared" si="6" ref="H19:H29">F19/E19*100</f>
        <v>102.99749163879599</v>
      </c>
      <c r="I19" s="56">
        <f aca="true" t="shared" si="7" ref="I19:I29">F19-D19</f>
        <v>-5260.89</v>
      </c>
      <c r="J19" s="56">
        <f aca="true" t="shared" si="8" ref="J19:J29">F19/D19*100</f>
        <v>12.3185</v>
      </c>
      <c r="K19" s="56">
        <f>F19-3876</f>
        <v>-3136.89</v>
      </c>
      <c r="L19" s="135">
        <f>F19/3876</f>
        <v>0.1906888544891641</v>
      </c>
      <c r="M19" s="40">
        <f>E19-'січень '!E19</f>
        <v>358.8</v>
      </c>
      <c r="N19" s="40">
        <f>F19-'січень '!F19</f>
        <v>380.3</v>
      </c>
      <c r="O19" s="53">
        <f t="shared" si="3"/>
        <v>21.5</v>
      </c>
      <c r="P19" s="56">
        <f aca="true" t="shared" si="9" ref="P19:P28">N19/M19*100</f>
        <v>105.9921962095875</v>
      </c>
      <c r="Q19" s="56">
        <f>N19-3681.4</f>
        <v>-3301.1</v>
      </c>
      <c r="R19" s="135">
        <f>N19/3681.4</f>
        <v>0.10330309121529853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E20-'січень '!E20</f>
        <v>0</v>
      </c>
      <c r="N20" s="40">
        <f>F20-'січень '!F20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E21-'січень '!E21</f>
        <v>0</v>
      </c>
      <c r="N21" s="40">
        <f>F21-'січень '!F21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E22-'січень '!E22</f>
        <v>0</v>
      </c>
      <c r="N22" s="40">
        <f>F22-'січень '!F22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E23-'січень '!E23</f>
        <v>0</v>
      </c>
      <c r="N23" s="40">
        <f>F23-'січень '!F23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E24-'січень '!E24</f>
        <v>0</v>
      </c>
      <c r="N24" s="40">
        <f>F24-'січень '!F24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E25-'січень '!E25</f>
        <v>0</v>
      </c>
      <c r="N25" s="40">
        <f>F25-'січень '!F25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E26-'січень '!E26</f>
        <v>0</v>
      </c>
      <c r="N26" s="40">
        <f>F26-'січень '!F26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E27-'січень '!E27</f>
        <v>0</v>
      </c>
      <c r="N27" s="40">
        <f>F27-'січень '!F27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E28-'січень '!E28</f>
        <v>0</v>
      </c>
      <c r="N28" s="40">
        <f>F28-'січень '!F28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41">
        <v>716</v>
      </c>
      <c r="F29" s="146">
        <v>717.64</v>
      </c>
      <c r="G29" s="49">
        <f t="shared" si="0"/>
        <v>1.6399999999999864</v>
      </c>
      <c r="H29" s="40">
        <f t="shared" si="6"/>
        <v>100.2290502793296</v>
      </c>
      <c r="I29" s="56">
        <f t="shared" si="7"/>
        <v>-2282.36</v>
      </c>
      <c r="J29" s="56">
        <f t="shared" si="8"/>
        <v>23.921333333333333</v>
      </c>
      <c r="K29" s="148">
        <f>F29-322.6</f>
        <v>395.03999999999996</v>
      </c>
      <c r="L29" s="149">
        <f>F29/322.6</f>
        <v>2.2245505269683816</v>
      </c>
      <c r="M29" s="146">
        <f>E29-'січень '!E29</f>
        <v>357.2</v>
      </c>
      <c r="N29" s="146">
        <f>F29-'січень '!F29</f>
        <v>358.84999999999997</v>
      </c>
      <c r="O29" s="148"/>
      <c r="P29" s="56"/>
      <c r="Q29" s="56">
        <f>N29-162.6</f>
        <v>196.24999999999997</v>
      </c>
      <c r="R29" s="135">
        <f>N29/162.6</f>
        <v>2.206949569495695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35"/>
      <c r="M30" s="40">
        <f>E30-'січень '!E30</f>
        <v>9</v>
      </c>
      <c r="N30" s="40">
        <f>F30-'січень '!F30</f>
        <v>2.91</v>
      </c>
      <c r="O30" s="53">
        <f t="shared" si="3"/>
        <v>-6.09</v>
      </c>
      <c r="P30" s="56"/>
      <c r="Q30" s="56">
        <f>N30-25.1</f>
        <v>-22.19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E31-'січень '!E31</f>
        <v>0</v>
      </c>
      <c r="N31" s="40">
        <f>F31-'січень '!F31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E32-'січень '!E32</f>
        <v>0</v>
      </c>
      <c r="N32" s="40">
        <f>F32-'січень '!F32</f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12388.2</v>
      </c>
      <c r="F33" s="40">
        <v>12757</v>
      </c>
      <c r="G33" s="49">
        <f aca="true" t="shared" si="14" ref="G33:G72">F33-E33</f>
        <v>368.7999999999993</v>
      </c>
      <c r="H33" s="40">
        <f aca="true" t="shared" si="15" ref="H33:H67">F33/E33*100</f>
        <v>102.97702652524177</v>
      </c>
      <c r="I33" s="56">
        <f>F33-D33</f>
        <v>-75309</v>
      </c>
      <c r="J33" s="56">
        <f aca="true" t="shared" si="16" ref="J33:J72">F33/D33*100</f>
        <v>14.485726614130312</v>
      </c>
      <c r="K33" s="141">
        <f>F33-12535.7</f>
        <v>221.29999999999927</v>
      </c>
      <c r="L33" s="142">
        <f>F33/12535.7</f>
        <v>1.0176535813716026</v>
      </c>
      <c r="M33" s="40">
        <f>E33-'січень '!E33</f>
        <v>6095.000000000001</v>
      </c>
      <c r="N33" s="40">
        <f>F33-'січень '!F33</f>
        <v>6463.71</v>
      </c>
      <c r="O33" s="53">
        <f t="shared" si="3"/>
        <v>368.7099999999991</v>
      </c>
      <c r="P33" s="56">
        <f aca="true" t="shared" si="17" ref="P33:P67">N33/M33*100</f>
        <v>106.04938474159144</v>
      </c>
      <c r="Q33" s="141">
        <f>N33-6362.9</f>
        <v>100.8100000000004</v>
      </c>
      <c r="R33" s="142">
        <f>N33/6362.9</f>
        <v>1.0158434047368339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E34-'січень '!E34</f>
        <v>0</v>
      </c>
      <c r="N34" s="40">
        <f>F34-'січень '!F34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E35-'січень '!E35</f>
        <v>0</v>
      </c>
      <c r="N35" s="40">
        <f>F35-'січень '!F35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E36-'січень '!E36</f>
        <v>0</v>
      </c>
      <c r="N36" s="40">
        <f>F36-'січень '!F36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E37-'січень '!E37</f>
        <v>0</v>
      </c>
      <c r="N37" s="40">
        <f>F37-'січень '!F37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E38-'січень '!E38</f>
        <v>0</v>
      </c>
      <c r="N38" s="40">
        <f>F38-'січень '!F38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E39-'січень '!E39</f>
        <v>0</v>
      </c>
      <c r="N39" s="40">
        <f>F39-'січень '!F39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E40-'січень '!E40</f>
        <v>0</v>
      </c>
      <c r="N40" s="40">
        <f>F40-'січень '!F40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E41-'січень '!E41</f>
        <v>0</v>
      </c>
      <c r="N41" s="40">
        <f>F41-'січень '!F41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E42-'січень '!E42</f>
        <v>0</v>
      </c>
      <c r="N42" s="40">
        <f>F42-'січень '!F42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E43-'січень '!E43</f>
        <v>0</v>
      </c>
      <c r="N43" s="40">
        <f>F43-'січень '!F43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E44-'січень '!E44</f>
        <v>0</v>
      </c>
      <c r="N44" s="40">
        <f>F44-'січень '!F44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E45-'січень '!E45</f>
        <v>0</v>
      </c>
      <c r="N45" s="40">
        <f>F45-'січень '!F45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E46-'січень '!E46</f>
        <v>0</v>
      </c>
      <c r="N46" s="40">
        <f>F46-'січень '!F46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E47-'січень '!E47</f>
        <v>0</v>
      </c>
      <c r="N47" s="40">
        <f>F47-'січень '!F47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E48-'січень '!E48</f>
        <v>0</v>
      </c>
      <c r="N48" s="40">
        <f>F48-'січень '!F48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E49-'січень '!E49</f>
        <v>0</v>
      </c>
      <c r="N49" s="40">
        <f>F49-'січень '!F49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E50-'січень '!E50</f>
        <v>0</v>
      </c>
      <c r="N50" s="40">
        <f>F50-'січень '!F50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E51-'січень '!E51</f>
        <v>0</v>
      </c>
      <c r="N51" s="40">
        <f>F51-'січень '!F51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E52-'січень '!E52</f>
        <v>0</v>
      </c>
      <c r="N52" s="40">
        <f>F52-'січень '!F52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E53-'січень '!E53</f>
        <v>0</v>
      </c>
      <c r="N53" s="40">
        <f>F53-'січень '!F53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E54-'січень '!E54</f>
        <v>0</v>
      </c>
      <c r="N54" s="40">
        <f>F54-'січень '!F54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15.75">
      <c r="A55" s="8"/>
      <c r="B55" s="76" t="s">
        <v>182</v>
      </c>
      <c r="C55" s="65"/>
      <c r="D55" s="144">
        <f>56066+10200</f>
        <v>66266</v>
      </c>
      <c r="E55" s="144">
        <v>9500</v>
      </c>
      <c r="F55" s="146">
        <v>9480.11</v>
      </c>
      <c r="G55" s="144">
        <f t="shared" si="14"/>
        <v>-19.889999999999418</v>
      </c>
      <c r="H55" s="146">
        <f t="shared" si="15"/>
        <v>99.79063157894737</v>
      </c>
      <c r="I55" s="145">
        <f t="shared" si="18"/>
        <v>-56785.89</v>
      </c>
      <c r="J55" s="145">
        <f t="shared" si="16"/>
        <v>14.306144931035526</v>
      </c>
      <c r="K55" s="148">
        <f>F55-9287.5</f>
        <v>192.61000000000058</v>
      </c>
      <c r="L55" s="149">
        <f>F55/9287.5</f>
        <v>1.0207386271870795</v>
      </c>
      <c r="M55" s="146">
        <f>E55-'січень '!E55</f>
        <v>4812.1</v>
      </c>
      <c r="N55" s="146">
        <f>F55-'січень '!F55</f>
        <v>4792.200000000001</v>
      </c>
      <c r="O55" s="148">
        <f t="shared" si="3"/>
        <v>-19.899999999999636</v>
      </c>
      <c r="P55" s="148">
        <f t="shared" si="17"/>
        <v>99.58645913426571</v>
      </c>
      <c r="Q55" s="154">
        <f>N55-4413.4</f>
        <v>378.8000000000011</v>
      </c>
      <c r="R55" s="155">
        <f>N55/4413.4</f>
        <v>1.0858295191915532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1079.7</v>
      </c>
      <c r="F56" s="40">
        <v>1067.46</v>
      </c>
      <c r="G56" s="49">
        <f t="shared" si="14"/>
        <v>-12.240000000000009</v>
      </c>
      <c r="H56" s="40">
        <f t="shared" si="15"/>
        <v>98.86635176437899</v>
      </c>
      <c r="I56" s="56">
        <f t="shared" si="18"/>
        <v>-5792.54</v>
      </c>
      <c r="J56" s="56">
        <f t="shared" si="16"/>
        <v>15.56064139941691</v>
      </c>
      <c r="K56" s="56">
        <f>F56-1019.7</f>
        <v>47.75999999999999</v>
      </c>
      <c r="L56" s="135">
        <f>F56/1019.7</f>
        <v>1.0468373050897322</v>
      </c>
      <c r="M56" s="40">
        <f>E56-'січень '!E56</f>
        <v>552</v>
      </c>
      <c r="N56" s="40">
        <f>F56-'січень '!F56</f>
        <v>539.6600000000001</v>
      </c>
      <c r="O56" s="53">
        <f t="shared" si="3"/>
        <v>-12.339999999999918</v>
      </c>
      <c r="P56" s="56">
        <f t="shared" si="17"/>
        <v>97.7644927536232</v>
      </c>
      <c r="Q56" s="56">
        <f>N56-518.3</f>
        <v>21.360000000000127</v>
      </c>
      <c r="R56" s="135">
        <f>N56/518.3</f>
        <v>1.0412116534825393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E57-'січень '!E57</f>
        <v>0</v>
      </c>
      <c r="N57" s="40">
        <f>F57-'січень '!F57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E58-'січень '!E58</f>
        <v>0</v>
      </c>
      <c r="N58" s="40">
        <f>F58-'січень '!F58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E59-'січень '!E59</f>
        <v>0</v>
      </c>
      <c r="N59" s="40">
        <f>F59-'січень '!F59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E60-'січень '!E60</f>
        <v>0</v>
      </c>
      <c r="N60" s="40">
        <f>F60-'січень '!F60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E61-'січень '!E61</f>
        <v>0</v>
      </c>
      <c r="N61" s="40">
        <f>F61-'січень '!F61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E62-'січень '!E62</f>
        <v>0</v>
      </c>
      <c r="N62" s="40">
        <f>F62-'січень '!F62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E63-'січень '!E63</f>
        <v>0</v>
      </c>
      <c r="N63" s="40">
        <f>F63-'січень '!F63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E64-'січень '!E64</f>
        <v>0</v>
      </c>
      <c r="N64" s="40">
        <f>F64-'січень '!F64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E65-'січень '!E65</f>
        <v>0</v>
      </c>
      <c r="N65" s="40">
        <f>F65-'січень '!F65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E66-'січень '!E66</f>
        <v>0</v>
      </c>
      <c r="N66" s="40">
        <f>F66-'січень '!F66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E67-'січень '!E67</f>
        <v>0</v>
      </c>
      <c r="N67" s="40">
        <f>F67-'січень '!F67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0.78</v>
      </c>
      <c r="G68" s="49">
        <f t="shared" si="14"/>
        <v>0.68</v>
      </c>
      <c r="H68" s="40"/>
      <c r="I68" s="56">
        <f t="shared" si="18"/>
        <v>0.68</v>
      </c>
      <c r="J68" s="56">
        <f t="shared" si="16"/>
        <v>780</v>
      </c>
      <c r="K68" s="56">
        <f>F68-0.2</f>
        <v>0.5800000000000001</v>
      </c>
      <c r="L68" s="135"/>
      <c r="M68" s="40">
        <f>E68-'січень '!E68</f>
        <v>0</v>
      </c>
      <c r="N68" s="40">
        <f>F68-'січень '!F68</f>
        <v>0.63</v>
      </c>
      <c r="O68" s="53">
        <f t="shared" si="3"/>
        <v>0.63</v>
      </c>
      <c r="P68" s="56"/>
      <c r="Q68" s="56">
        <f>N68-0.1</f>
        <v>0.53</v>
      </c>
      <c r="R68" s="135">
        <f>N68/0.1</f>
        <v>6.3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1867</v>
      </c>
      <c r="F74" s="22">
        <f>F77+F86+F88+F89+F94+F95+F96+F97+F99+F103+F87</f>
        <v>2104.52</v>
      </c>
      <c r="G74" s="50">
        <f aca="true" t="shared" si="24" ref="G74:G92">F74-E74</f>
        <v>237.51999999999998</v>
      </c>
      <c r="H74" s="51">
        <f aca="true" t="shared" si="25" ref="H74:H86">F74/E74*100</f>
        <v>112.72201392608463</v>
      </c>
      <c r="I74" s="36">
        <f aca="true" t="shared" si="26" ref="I74:I92">F74-D74</f>
        <v>-15561.079999999998</v>
      </c>
      <c r="J74" s="36">
        <f aca="true" t="shared" si="27" ref="J74:J92">F74/D74*100</f>
        <v>11.91309663979712</v>
      </c>
      <c r="K74" s="36">
        <f>F74-2710.3</f>
        <v>-605.7800000000002</v>
      </c>
      <c r="L74" s="136">
        <f>F74/2710.3</f>
        <v>0.7764896874884698</v>
      </c>
      <c r="M74" s="22">
        <f>M77+M86+M88+M89+M94+M95+M96+M97+M99+M87+M103</f>
        <v>854</v>
      </c>
      <c r="N74" s="22">
        <f>N77+N86+N88+N89+N94+N95+N96+N97+N99+N32+N103+N87</f>
        <v>1086.89</v>
      </c>
      <c r="O74" s="55">
        <f aca="true" t="shared" si="28" ref="O74:O92">N74-M74</f>
        <v>232.8900000000001</v>
      </c>
      <c r="P74" s="36">
        <f>N74/M74*100</f>
        <v>127.2704918032787</v>
      </c>
      <c r="Q74" s="36">
        <f>N74-1790.3</f>
        <v>-703.4099999999999</v>
      </c>
      <c r="R74" s="136">
        <f>N74/1790.3</f>
        <v>0.6070993688208681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15.87</v>
      </c>
      <c r="G77" s="49">
        <f t="shared" si="24"/>
        <v>5.869999999999999</v>
      </c>
      <c r="H77" s="40">
        <f t="shared" si="25"/>
        <v>158.7</v>
      </c>
      <c r="I77" s="56">
        <f t="shared" si="26"/>
        <v>-1684.13</v>
      </c>
      <c r="J77" s="56">
        <f t="shared" si="27"/>
        <v>0.9335294117647058</v>
      </c>
      <c r="K77" s="56">
        <f>F77-1273.9</f>
        <v>-1258.0300000000002</v>
      </c>
      <c r="L77" s="135">
        <f>F77/1273.9</f>
        <v>0.012457806735222543</v>
      </c>
      <c r="M77" s="40">
        <f>E77-'січень '!E77</f>
        <v>10</v>
      </c>
      <c r="N77" s="40">
        <f>F77-'січень '!F77</f>
        <v>15.87</v>
      </c>
      <c r="O77" s="53">
        <f t="shared" si="28"/>
        <v>5.869999999999999</v>
      </c>
      <c r="P77" s="56">
        <f aca="true" t="shared" si="29" ref="P77:P86">N77/M77*100</f>
        <v>158.7</v>
      </c>
      <c r="Q77" s="56">
        <f>N77-1273</f>
        <v>-1257.13</v>
      </c>
      <c r="R77" s="135">
        <f>N77/1273</f>
        <v>0.01246661429693637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101">F78</f>
        <v>0</v>
      </c>
      <c r="M78" s="40">
        <f>E78-'січень '!E78</f>
        <v>0</v>
      </c>
      <c r="N78" s="40">
        <f>F78-'січень '!F78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E79-'січень '!E79</f>
        <v>0</v>
      </c>
      <c r="N79" s="40">
        <f>F79-'січень '!F79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E80-'січень '!E80</f>
        <v>0</v>
      </c>
      <c r="N80" s="40">
        <f>F80-'січень '!F80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E81-'січень '!E81</f>
        <v>0</v>
      </c>
      <c r="N81" s="40">
        <f>F81-'січень '!F81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E82-'січень '!E82</f>
        <v>0</v>
      </c>
      <c r="N82" s="40">
        <f>F82-'січень '!F82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E83-'січень '!E83</f>
        <v>0</v>
      </c>
      <c r="N83" s="40">
        <f>F83-'січень '!F83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E84-'січень '!E84</f>
        <v>0</v>
      </c>
      <c r="N84" s="40">
        <f>F84-'січень '!F84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E85-'січень '!E85</f>
        <v>0</v>
      </c>
      <c r="N85" s="40">
        <f>F85-'січень '!F85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24"/>
        <v>0</v>
      </c>
      <c r="H86" s="40" t="e">
        <f t="shared" si="25"/>
        <v>#DIV/0!</v>
      </c>
      <c r="I86" s="56">
        <f t="shared" si="26"/>
        <v>-4300</v>
      </c>
      <c r="J86" s="56">
        <f t="shared" si="27"/>
        <v>0</v>
      </c>
      <c r="K86" s="56">
        <f>F86-0</f>
        <v>0</v>
      </c>
      <c r="L86" s="135" t="e">
        <f>F86/0*100</f>
        <v>#DIV/0!</v>
      </c>
      <c r="M86" s="40">
        <f>E86-'січень '!E86</f>
        <v>0</v>
      </c>
      <c r="N86" s="40">
        <f>F86-'січень '!F86</f>
        <v>0</v>
      </c>
      <c r="O86" s="53">
        <f t="shared" si="28"/>
        <v>0</v>
      </c>
      <c r="P86" s="56" t="e">
        <f t="shared" si="29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97.38</v>
      </c>
      <c r="G87" s="49"/>
      <c r="H87" s="40"/>
      <c r="I87" s="56"/>
      <c r="J87" s="56"/>
      <c r="K87" s="56"/>
      <c r="L87" s="135"/>
      <c r="M87" s="40">
        <f>E87-'січень '!E87</f>
        <v>0</v>
      </c>
      <c r="N87" s="40">
        <f>F87-'січень '!F87</f>
        <v>93.14999999999999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3.4</v>
      </c>
      <c r="G88" s="49">
        <f t="shared" si="24"/>
        <v>3.4</v>
      </c>
      <c r="H88" s="40" t="e">
        <f>F88/E88*100</f>
        <v>#DIV/0!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E88-'січень '!E88</f>
        <v>0</v>
      </c>
      <c r="N88" s="40">
        <f>F88-'січень '!F88</f>
        <v>3.4</v>
      </c>
      <c r="O88" s="53">
        <f t="shared" si="28"/>
        <v>3.4</v>
      </c>
      <c r="P88" s="56" t="e">
        <f>N88/M88*100</f>
        <v>#DIV/0!</v>
      </c>
      <c r="Q88" s="56">
        <f>N88-0</f>
        <v>3.4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24</v>
      </c>
      <c r="F89" s="57">
        <v>19.41</v>
      </c>
      <c r="G89" s="49">
        <f t="shared" si="24"/>
        <v>-4.59</v>
      </c>
      <c r="H89" s="40">
        <f>F89/E89*100</f>
        <v>80.875</v>
      </c>
      <c r="I89" s="56">
        <f t="shared" si="26"/>
        <v>-155.59</v>
      </c>
      <c r="J89" s="56">
        <f t="shared" si="27"/>
        <v>11.09142857142857</v>
      </c>
      <c r="K89" s="56">
        <f>F89-31.6</f>
        <v>-12.190000000000001</v>
      </c>
      <c r="L89" s="135">
        <f>F89/31.6</f>
        <v>0.6142405063291139</v>
      </c>
      <c r="M89" s="40">
        <f>E89-'січень '!E89</f>
        <v>15</v>
      </c>
      <c r="N89" s="40">
        <f>F89-'січень '!F89</f>
        <v>10.39</v>
      </c>
      <c r="O89" s="53">
        <f t="shared" si="28"/>
        <v>-4.609999999999999</v>
      </c>
      <c r="P89" s="56">
        <f>N89/M89*100</f>
        <v>69.26666666666667</v>
      </c>
      <c r="Q89" s="56">
        <f>N89-19.8</f>
        <v>-9.41</v>
      </c>
      <c r="R89" s="135">
        <f>N89/19.8</f>
        <v>0.5247474747474747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 t="shared" si="30"/>
        <v>0</v>
      </c>
      <c r="M90" s="40">
        <f>E90-'січень '!E90</f>
        <v>0</v>
      </c>
      <c r="N90" s="40">
        <f>F90-'січень '!F90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 t="shared" si="30"/>
        <v>0</v>
      </c>
      <c r="M91" s="40">
        <f>E91-'січень '!E91</f>
        <v>0</v>
      </c>
      <c r="N91" s="40">
        <f>F91-'січень '!F91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 t="shared" si="30"/>
        <v>0</v>
      </c>
      <c r="M92" s="40">
        <f>E92-'січень '!E92</f>
        <v>0</v>
      </c>
      <c r="N92" s="40">
        <f>F92-'січень '!F92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 t="shared" si="30"/>
        <v>0</v>
      </c>
      <c r="M93" s="40">
        <f>E93-'січень '!E93</f>
        <v>0</v>
      </c>
      <c r="N93" s="40">
        <f>F93-'січень '!F93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 t="shared" si="30"/>
        <v>0</v>
      </c>
      <c r="M94" s="40">
        <f>E94-'січень '!E94</f>
        <v>0</v>
      </c>
      <c r="N94" s="40">
        <f>F94-'січень '!F94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1161.5</v>
      </c>
      <c r="F95" s="57">
        <v>1189.92</v>
      </c>
      <c r="G95" s="49">
        <f t="shared" si="31"/>
        <v>28.420000000000073</v>
      </c>
      <c r="H95" s="40">
        <f>F95/E95*100</f>
        <v>102.44683598794661</v>
      </c>
      <c r="I95" s="56">
        <f t="shared" si="32"/>
        <v>-5110.08</v>
      </c>
      <c r="J95" s="56">
        <f>F95/D95*100</f>
        <v>18.887619047619047</v>
      </c>
      <c r="K95" s="56">
        <f>F95-825</f>
        <v>364.9200000000001</v>
      </c>
      <c r="L95" s="135">
        <f>F95/825</f>
        <v>1.442327272727273</v>
      </c>
      <c r="M95" s="40">
        <f>E95-'січень '!E95</f>
        <v>514</v>
      </c>
      <c r="N95" s="40">
        <f>F95-'січень '!F95</f>
        <v>542.4300000000001</v>
      </c>
      <c r="O95" s="53">
        <f t="shared" si="33"/>
        <v>28.430000000000064</v>
      </c>
      <c r="P95" s="56">
        <f>N95/M95*100</f>
        <v>105.53112840466927</v>
      </c>
      <c r="Q95" s="56">
        <f>N95-186.8</f>
        <v>355.63000000000005</v>
      </c>
      <c r="R95" s="135">
        <f>N95/186.8</f>
        <v>2.9038008565310496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144.5</v>
      </c>
      <c r="F96" s="57">
        <v>126.54</v>
      </c>
      <c r="G96" s="49">
        <f t="shared" si="31"/>
        <v>-17.959999999999994</v>
      </c>
      <c r="H96" s="40">
        <f>F96/E96*100</f>
        <v>87.57093425605537</v>
      </c>
      <c r="I96" s="56">
        <f t="shared" si="32"/>
        <v>-1073.46</v>
      </c>
      <c r="J96" s="56">
        <f>F96/D96*100</f>
        <v>10.545</v>
      </c>
      <c r="K96" s="56">
        <f>F96-60</f>
        <v>66.54</v>
      </c>
      <c r="L96" s="135">
        <f>F96/60</f>
        <v>2.109</v>
      </c>
      <c r="M96" s="40">
        <f>E96-'січень '!E96</f>
        <v>65</v>
      </c>
      <c r="N96" s="40">
        <f>F96-'січень '!F96</f>
        <v>47.03</v>
      </c>
      <c r="O96" s="53">
        <f t="shared" si="33"/>
        <v>-17.97</v>
      </c>
      <c r="P96" s="56">
        <f>N96/M96*100</f>
        <v>72.35384615384616</v>
      </c>
      <c r="Q96" s="56">
        <f>N96-42.8</f>
        <v>4.230000000000004</v>
      </c>
      <c r="R96" s="135">
        <f>N96/42.8</f>
        <v>1.0988317757009347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E97-'січень '!E97</f>
        <v>0</v>
      </c>
      <c r="N97" s="40">
        <f>F97-'січень '!F97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 t="shared" si="30"/>
        <v>0</v>
      </c>
      <c r="M98" s="40">
        <f>E98-'січень '!E98</f>
        <v>0</v>
      </c>
      <c r="N98" s="40">
        <f>F98-'січень '!F98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527</v>
      </c>
      <c r="F99" s="57">
        <v>652</v>
      </c>
      <c r="G99" s="49">
        <f t="shared" si="31"/>
        <v>125</v>
      </c>
      <c r="H99" s="40">
        <f>F99/E99*100</f>
        <v>123.71916508538901</v>
      </c>
      <c r="I99" s="56">
        <f t="shared" si="32"/>
        <v>-3228</v>
      </c>
      <c r="J99" s="56">
        <f>F99/D99*100</f>
        <v>16.804123711340207</v>
      </c>
      <c r="K99" s="56">
        <f>F99-488.6</f>
        <v>163.39999999999998</v>
      </c>
      <c r="L99" s="135">
        <f>F99/488.6</f>
        <v>1.3344248874334834</v>
      </c>
      <c r="M99" s="40">
        <f>E99-'січень '!E99</f>
        <v>250</v>
      </c>
      <c r="N99" s="40">
        <f>F99-'січень '!F99</f>
        <v>374.62</v>
      </c>
      <c r="O99" s="53">
        <f t="shared" si="33"/>
        <v>124.62</v>
      </c>
      <c r="P99" s="56">
        <f>N99/M99*100</f>
        <v>149.848</v>
      </c>
      <c r="Q99" s="56">
        <f>N99-252.2</f>
        <v>122.42000000000002</v>
      </c>
      <c r="R99" s="135">
        <f>N99/252.2</f>
        <v>1.4854084060269628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 t="shared" si="30"/>
        <v>0</v>
      </c>
      <c r="M100" s="40">
        <f>E100-'січень '!E100</f>
        <v>0</v>
      </c>
      <c r="N100" s="40">
        <f>F100-'січень '!F100</f>
        <v>0</v>
      </c>
      <c r="O100" s="53">
        <f t="shared" si="3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 t="shared" si="30"/>
        <v>0</v>
      </c>
      <c r="M101" s="40">
        <f>E101-'січень '!E101</f>
        <v>0</v>
      </c>
      <c r="N101" s="40">
        <f>F101-'січень '!F101</f>
        <v>0</v>
      </c>
      <c r="O101" s="53">
        <f t="shared" si="3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130.09</v>
      </c>
      <c r="G102" s="144"/>
      <c r="H102" s="146"/>
      <c r="I102" s="145"/>
      <c r="J102" s="145"/>
      <c r="K102" s="148">
        <f>F102-54.4</f>
        <v>75.69</v>
      </c>
      <c r="L102" s="149">
        <f>F102/54.4</f>
        <v>2.3913602941176473</v>
      </c>
      <c r="M102" s="146">
        <f>E102-'січень '!E102</f>
        <v>0</v>
      </c>
      <c r="N102" s="146">
        <f>F102-'січень '!F102</f>
        <v>65.16</v>
      </c>
      <c r="O102" s="53"/>
      <c r="P102" s="60"/>
      <c r="Q102" s="60">
        <f>N102-26.6</f>
        <v>38.559999999999995</v>
      </c>
      <c r="R102" s="138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34" ref="I103:I110">F103-D103</f>
        <v>-65.5</v>
      </c>
      <c r="J103" s="56"/>
      <c r="K103" s="56">
        <f>F103-0</f>
        <v>0</v>
      </c>
      <c r="L103" s="135" t="e">
        <f>F103/0</f>
        <v>#DIV/0!</v>
      </c>
      <c r="M103" s="40">
        <f>E103-'січень '!E103</f>
        <v>0</v>
      </c>
      <c r="N103" s="40">
        <f>F103-'січень '!F103</f>
        <v>0</v>
      </c>
      <c r="O103" s="53">
        <f aca="true" t="shared" si="3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4.2</v>
      </c>
      <c r="F104" s="57">
        <v>2.68</v>
      </c>
      <c r="G104" s="49">
        <f>F104-E104</f>
        <v>-1.52</v>
      </c>
      <c r="H104" s="40"/>
      <c r="I104" s="56">
        <f t="shared" si="34"/>
        <v>-42.32</v>
      </c>
      <c r="J104" s="56">
        <f aca="true" t="shared" si="36" ref="J104:J109">F104/D104*100</f>
        <v>5.955555555555556</v>
      </c>
      <c r="K104" s="56">
        <f>F104-10.6</f>
        <v>-7.92</v>
      </c>
      <c r="L104" s="135">
        <f>F104/10.6</f>
        <v>0.2528301886792453</v>
      </c>
      <c r="M104" s="40">
        <f>E104-'січень '!E104</f>
        <v>2</v>
      </c>
      <c r="N104" s="40">
        <f>F104-'січень '!F104</f>
        <v>0.4700000000000002</v>
      </c>
      <c r="O104" s="53">
        <f t="shared" si="35"/>
        <v>-1.5299999999999998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0.01</v>
      </c>
      <c r="G105" s="49"/>
      <c r="H105" s="40"/>
      <c r="I105" s="56"/>
      <c r="J105" s="56"/>
      <c r="K105" s="56"/>
      <c r="L105" s="135"/>
      <c r="M105" s="40">
        <f>E105-'січень '!E105</f>
        <v>0</v>
      </c>
      <c r="N105" s="40">
        <f>F105-'січень '!F105</f>
        <v>0.01</v>
      </c>
      <c r="O105" s="53">
        <f t="shared" si="35"/>
        <v>0.01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75936</v>
      </c>
      <c r="F106" s="152">
        <f>F8+F74+F104+F105</f>
        <v>71420.46</v>
      </c>
      <c r="G106" s="50">
        <f>F106-E106</f>
        <v>-4515.539999999994</v>
      </c>
      <c r="H106" s="51">
        <f>F106/E106*100</f>
        <v>94.05349241466499</v>
      </c>
      <c r="I106" s="36">
        <f t="shared" si="34"/>
        <v>-465619.44</v>
      </c>
      <c r="J106" s="36">
        <f t="shared" si="36"/>
        <v>13.298911309941778</v>
      </c>
      <c r="K106" s="36">
        <f>F106-75300.9</f>
        <v>-3880.439999999988</v>
      </c>
      <c r="L106" s="136">
        <f>F106/75300.9</f>
        <v>0.9484675481966353</v>
      </c>
      <c r="M106" s="22">
        <f>M8+M74+M104+M105</f>
        <v>39107.1</v>
      </c>
      <c r="N106" s="22">
        <f>N8+N74+N104+N105</f>
        <v>36652.46000000001</v>
      </c>
      <c r="O106" s="55">
        <f t="shared" si="35"/>
        <v>-2454.639999999992</v>
      </c>
      <c r="P106" s="36">
        <f>N106/M106*100</f>
        <v>93.72328809858058</v>
      </c>
      <c r="Q106" s="36">
        <f>N106-40779.2</f>
        <v>-4126.739999999991</v>
      </c>
      <c r="R106" s="136">
        <f>N106/40779.2</f>
        <v>0.8988028210460237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60014.7</v>
      </c>
      <c r="F107" s="153">
        <f>F10-F18+F96</f>
        <v>54872.53</v>
      </c>
      <c r="G107" s="71">
        <f>G10-G18+G96</f>
        <v>-5142.169999999999</v>
      </c>
      <c r="H107" s="72">
        <f>F107/E107*100</f>
        <v>91.43181587177808</v>
      </c>
      <c r="I107" s="52">
        <f t="shared" si="34"/>
        <v>-364693.67000000004</v>
      </c>
      <c r="J107" s="52">
        <f t="shared" si="36"/>
        <v>13.078396210180895</v>
      </c>
      <c r="K107" s="52">
        <f>F107-55213.7</f>
        <v>-341.16999999999825</v>
      </c>
      <c r="L107" s="137">
        <f>F107/55213.7</f>
        <v>0.9938209176345726</v>
      </c>
      <c r="M107" s="71">
        <f>M10-M18+M96</f>
        <v>31301.299999999996</v>
      </c>
      <c r="N107" s="71">
        <f>N10-N18+N96</f>
        <v>28224.909999999996</v>
      </c>
      <c r="O107" s="53">
        <f t="shared" si="35"/>
        <v>-3076.3899999999994</v>
      </c>
      <c r="P107" s="52">
        <f>N107/M107*100</f>
        <v>90.17168615999974</v>
      </c>
      <c r="Q107" s="52">
        <f>N107-28449</f>
        <v>-224.09000000000378</v>
      </c>
      <c r="R107" s="137">
        <f>N107/28449</f>
        <v>0.9921230974726702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15921.300000000003</v>
      </c>
      <c r="F108" s="153">
        <f>F106-F107</f>
        <v>16547.930000000008</v>
      </c>
      <c r="G108" s="62">
        <f>F108-E108</f>
        <v>626.6300000000047</v>
      </c>
      <c r="H108" s="72">
        <f>F108/E108*100</f>
        <v>103.93579670001824</v>
      </c>
      <c r="I108" s="52">
        <f t="shared" si="34"/>
        <v>-100925.77</v>
      </c>
      <c r="J108" s="52">
        <f t="shared" si="36"/>
        <v>14.086497658624872</v>
      </c>
      <c r="K108" s="52">
        <f>F108-20087.2</f>
        <v>-3539.269999999993</v>
      </c>
      <c r="L108" s="137">
        <f>F108/20087.2</f>
        <v>0.8238047114580432</v>
      </c>
      <c r="M108" s="71">
        <f>M106-M107</f>
        <v>7805.800000000003</v>
      </c>
      <c r="N108" s="71">
        <f>N106-N107</f>
        <v>8427.55000000001</v>
      </c>
      <c r="O108" s="53">
        <f t="shared" si="35"/>
        <v>621.7500000000073</v>
      </c>
      <c r="P108" s="52">
        <f>N108/M108*100</f>
        <v>107.96523098209032</v>
      </c>
      <c r="Q108" s="52">
        <f>N108-12330.3</f>
        <v>-3902.749999999989</v>
      </c>
      <c r="R108" s="137">
        <f>N108/12330.3</f>
        <v>0.683482964729164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56938.3</v>
      </c>
      <c r="F109" s="71">
        <f>F107</f>
        <v>54872.53</v>
      </c>
      <c r="G109" s="111">
        <f>F109-E109</f>
        <v>-2065.770000000004</v>
      </c>
      <c r="H109" s="72">
        <f>F109/E109*100</f>
        <v>96.37191486222805</v>
      </c>
      <c r="I109" s="81">
        <f t="shared" si="34"/>
        <v>-333340.67000000004</v>
      </c>
      <c r="J109" s="52">
        <f t="shared" si="36"/>
        <v>14.134637874240235</v>
      </c>
      <c r="K109" s="52"/>
      <c r="L109" s="137"/>
      <c r="M109" s="122">
        <f>E109-'січень '!E109</f>
        <v>28224.9</v>
      </c>
      <c r="N109" s="71">
        <f>N107</f>
        <v>28224.909999999996</v>
      </c>
      <c r="O109" s="118">
        <f t="shared" si="35"/>
        <v>0.00999999999476131</v>
      </c>
      <c r="P109" s="52">
        <f>N109/M109*100</f>
        <v>100.00003542970921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f>3219.411</f>
        <v>3219.411</v>
      </c>
      <c r="F110" s="87">
        <f>'[1]лютий'!$C$28/1000</f>
        <v>3219.411</v>
      </c>
      <c r="G110" s="62">
        <f>F110-E110</f>
        <v>0</v>
      </c>
      <c r="H110" s="72"/>
      <c r="I110" s="85">
        <f t="shared" si="34"/>
        <v>-1650.9652999999998</v>
      </c>
      <c r="J110" s="52"/>
      <c r="K110" s="52"/>
      <c r="L110" s="137"/>
      <c r="M110" s="40">
        <f>E110-'січень '!E110</f>
        <v>1650.98</v>
      </c>
      <c r="N110" s="71">
        <f>F110-'січень '!F110</f>
        <v>1650.98</v>
      </c>
      <c r="O110" s="86"/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180</v>
      </c>
      <c r="C111" s="93"/>
      <c r="D111" s="84"/>
      <c r="E111" s="111">
        <f>0-'січень '!G109</f>
        <v>2065.7800000000025</v>
      </c>
      <c r="F111" s="84">
        <v>0</v>
      </c>
      <c r="G111" s="62">
        <f>F111-E111</f>
        <v>-2065.7800000000025</v>
      </c>
      <c r="H111" s="72"/>
      <c r="I111" s="85"/>
      <c r="J111" s="52"/>
      <c r="K111" s="52"/>
      <c r="L111" s="137"/>
      <c r="M111" s="159">
        <f>0-'січень '!O109</f>
        <v>2065.7800000000025</v>
      </c>
      <c r="N111" s="84">
        <v>0</v>
      </c>
      <c r="O111" s="118">
        <f>N111-M111</f>
        <v>-2065.7800000000025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-2.61</v>
      </c>
      <c r="G113" s="49">
        <f aca="true" t="shared" si="37" ref="G113:G125">F113-E113</f>
        <v>-2.61</v>
      </c>
      <c r="H113" s="40"/>
      <c r="I113" s="60">
        <f aca="true" t="shared" si="38" ref="I113:I124">F113-D113</f>
        <v>-2.61</v>
      </c>
      <c r="J113" s="60"/>
      <c r="K113" s="60">
        <f>F113-4.1</f>
        <v>-6.709999999999999</v>
      </c>
      <c r="L113" s="138">
        <f>F113/4.1</f>
        <v>-0.6365853658536585</v>
      </c>
      <c r="M113" s="40">
        <f>E113-'січень '!E113</f>
        <v>0</v>
      </c>
      <c r="N113" s="40">
        <f>F113-'січень '!F113</f>
        <v>-2.79</v>
      </c>
      <c r="O113" s="53"/>
      <c r="P113" s="60"/>
      <c r="Q113" s="60">
        <f>N113-3.2</f>
        <v>-5.99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387.1</v>
      </c>
      <c r="F114" s="32">
        <v>179.24</v>
      </c>
      <c r="G114" s="49">
        <f t="shared" si="37"/>
        <v>-207.86</v>
      </c>
      <c r="H114" s="40">
        <f aca="true" t="shared" si="39" ref="H114:H125">F114/E114*100</f>
        <v>46.30328080599328</v>
      </c>
      <c r="I114" s="60">
        <f t="shared" si="38"/>
        <v>-3492.26</v>
      </c>
      <c r="J114" s="60">
        <f aca="true" t="shared" si="40" ref="J114:J120">F114/D114*100</f>
        <v>4.8819283671523905</v>
      </c>
      <c r="K114" s="60">
        <f>F114-605.5</f>
        <v>-426.26</v>
      </c>
      <c r="L114" s="138">
        <f>F114/605.5</f>
        <v>0.29601981833195706</v>
      </c>
      <c r="M114" s="40">
        <f>E114-'січень '!E114</f>
        <v>319</v>
      </c>
      <c r="N114" s="40">
        <f>F114-'січень '!F114</f>
        <v>111.10000000000001</v>
      </c>
      <c r="O114" s="53">
        <f aca="true" t="shared" si="41" ref="O114:O125">N114-M114</f>
        <v>-207.89999999999998</v>
      </c>
      <c r="P114" s="60">
        <f>N114/M114*100</f>
        <v>34.827586206896555</v>
      </c>
      <c r="Q114" s="60">
        <f>N114-358.7</f>
        <v>-247.59999999999997</v>
      </c>
      <c r="R114" s="138">
        <f>N114/358.7</f>
        <v>0.30972957903540566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46.5</v>
      </c>
      <c r="F115" s="32">
        <v>46.69</v>
      </c>
      <c r="G115" s="49">
        <f t="shared" si="37"/>
        <v>0.18999999999999773</v>
      </c>
      <c r="H115" s="40">
        <f t="shared" si="39"/>
        <v>100.40860215053765</v>
      </c>
      <c r="I115" s="60">
        <f t="shared" si="38"/>
        <v>-221.41000000000003</v>
      </c>
      <c r="J115" s="60">
        <f t="shared" si="40"/>
        <v>17.415143603133156</v>
      </c>
      <c r="K115" s="60">
        <f>F115-39.4</f>
        <v>7.289999999999999</v>
      </c>
      <c r="L115" s="138">
        <f>F115/39.4</f>
        <v>1.1850253807106599</v>
      </c>
      <c r="M115" s="40">
        <f>E115-'січень '!E115</f>
        <v>22</v>
      </c>
      <c r="N115" s="40">
        <f>F115-'січень '!F115</f>
        <v>22.159999999999997</v>
      </c>
      <c r="O115" s="53">
        <f t="shared" si="41"/>
        <v>0.1599999999999966</v>
      </c>
      <c r="P115" s="60">
        <f>N115/M115*100</f>
        <v>100.7272727272727</v>
      </c>
      <c r="Q115" s="60">
        <f>N115-16.9</f>
        <v>5.259999999999998</v>
      </c>
      <c r="R115" s="138">
        <f>N115/16.9</f>
        <v>1.3112426035502958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433.6</v>
      </c>
      <c r="F116" s="38">
        <f>SUM(F113:F115)</f>
        <v>223.32</v>
      </c>
      <c r="G116" s="62">
        <f t="shared" si="37"/>
        <v>-210.28000000000003</v>
      </c>
      <c r="H116" s="72">
        <f t="shared" si="39"/>
        <v>51.503690036900366</v>
      </c>
      <c r="I116" s="61">
        <f t="shared" si="38"/>
        <v>-3716.2799999999997</v>
      </c>
      <c r="J116" s="61">
        <f t="shared" si="40"/>
        <v>5.668595796527566</v>
      </c>
      <c r="K116" s="61">
        <f>F116-648.9</f>
        <v>-425.58</v>
      </c>
      <c r="L116" s="139">
        <f>F116/648.9</f>
        <v>0.34415164123901987</v>
      </c>
      <c r="M116" s="62">
        <f>M114+M115+M113</f>
        <v>341</v>
      </c>
      <c r="N116" s="38">
        <f>SUM(N113:N115)</f>
        <v>130.47</v>
      </c>
      <c r="O116" s="61">
        <f t="shared" si="41"/>
        <v>-210.53</v>
      </c>
      <c r="P116" s="61">
        <f>N116/M116*100</f>
        <v>38.260997067448685</v>
      </c>
      <c r="Q116" s="61">
        <f>N116-378.9</f>
        <v>-248.42999999999998</v>
      </c>
      <c r="R116" s="139">
        <f>N116/378.9</f>
        <v>0.344338875692795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57.39</v>
      </c>
      <c r="G118" s="49">
        <f t="shared" si="37"/>
        <v>57.39</v>
      </c>
      <c r="H118" s="40" t="e">
        <f t="shared" si="39"/>
        <v>#DIV/0!</v>
      </c>
      <c r="I118" s="60">
        <f t="shared" si="38"/>
        <v>57.39</v>
      </c>
      <c r="J118" s="60" t="e">
        <f t="shared" si="40"/>
        <v>#DIV/0!</v>
      </c>
      <c r="K118" s="60">
        <f>F118-5.2</f>
        <v>52.19</v>
      </c>
      <c r="L118" s="138">
        <f>F118/5.2</f>
        <v>11.036538461538461</v>
      </c>
      <c r="M118" s="40">
        <f>E118-'січень '!E118</f>
        <v>0</v>
      </c>
      <c r="N118" s="40">
        <f>F118-'січень '!F118</f>
        <v>3.0700000000000003</v>
      </c>
      <c r="O118" s="53" t="s">
        <v>166</v>
      </c>
      <c r="P118" s="60"/>
      <c r="Q118" s="60">
        <f>N118-5</f>
        <v>-1.9299999999999997</v>
      </c>
      <c r="R118" s="138">
        <f>N118/5</f>
        <v>0.6140000000000001</v>
      </c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15519.6</v>
      </c>
      <c r="F119" s="33">
        <v>16881.34</v>
      </c>
      <c r="G119" s="49">
        <f t="shared" si="37"/>
        <v>1361.7399999999998</v>
      </c>
      <c r="H119" s="40">
        <f t="shared" si="39"/>
        <v>108.77432408051754</v>
      </c>
      <c r="I119" s="53">
        <f t="shared" si="38"/>
        <v>-9106.044999999998</v>
      </c>
      <c r="J119" s="60">
        <f t="shared" si="40"/>
        <v>64.95974873962886</v>
      </c>
      <c r="K119" s="60">
        <f>F119-14451.2</f>
        <v>2430.1399999999994</v>
      </c>
      <c r="L119" s="138">
        <f>F119/14451.2</f>
        <v>1.1681618135518157</v>
      </c>
      <c r="M119" s="40">
        <f>E119-'січень '!E119</f>
        <v>8040</v>
      </c>
      <c r="N119" s="40">
        <f>F119-'січень '!F119</f>
        <v>9401.48</v>
      </c>
      <c r="O119" s="53">
        <f t="shared" si="41"/>
        <v>1361.4799999999996</v>
      </c>
      <c r="P119" s="60">
        <f aca="true" t="shared" si="42" ref="P119:P124">N119/M119*100</f>
        <v>116.93383084577114</v>
      </c>
      <c r="Q119" s="60">
        <f>N119-8093.7</f>
        <v>1307.7799999999997</v>
      </c>
      <c r="R119" s="138">
        <f>N119/8093.7</f>
        <v>1.1615799943165672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475.9</v>
      </c>
      <c r="G120" s="49">
        <f t="shared" si="37"/>
        <v>475.9</v>
      </c>
      <c r="H120" s="40" t="e">
        <f t="shared" si="39"/>
        <v>#DIV/0!</v>
      </c>
      <c r="I120" s="60">
        <f t="shared" si="38"/>
        <v>475.9</v>
      </c>
      <c r="J120" s="60" t="e">
        <f t="shared" si="40"/>
        <v>#DIV/0!</v>
      </c>
      <c r="K120" s="60">
        <f>F120-280.4</f>
        <v>195.5</v>
      </c>
      <c r="L120" s="138">
        <f>F120/230.3</f>
        <v>2.0664350846721664</v>
      </c>
      <c r="M120" s="40">
        <f>E120-'січень '!E120</f>
        <v>0</v>
      </c>
      <c r="N120" s="40">
        <f>F120-'січень '!F120</f>
        <v>475.85999999999996</v>
      </c>
      <c r="O120" s="53">
        <f t="shared" si="41"/>
        <v>475.85999999999996</v>
      </c>
      <c r="P120" s="60" t="e">
        <f t="shared" si="42"/>
        <v>#DIV/0!</v>
      </c>
      <c r="Q120" s="60">
        <f>N120-230.3</f>
        <v>245.55999999999995</v>
      </c>
      <c r="R120" s="138">
        <f>N120/230.3</f>
        <v>2.0662613981762914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1043.17</v>
      </c>
      <c r="G121" s="49">
        <f t="shared" si="37"/>
        <v>1043.17</v>
      </c>
      <c r="H121" s="40" t="e">
        <f t="shared" si="39"/>
        <v>#DIV/0!</v>
      </c>
      <c r="I121" s="60">
        <f t="shared" si="38"/>
        <v>1043.17</v>
      </c>
      <c r="J121" s="60" t="e">
        <f>F121/D121*100</f>
        <v>#DIV/0!</v>
      </c>
      <c r="K121" s="60">
        <f>F121-238.5</f>
        <v>804.6700000000001</v>
      </c>
      <c r="L121" s="138">
        <f>F121/280.4</f>
        <v>3.720292439372326</v>
      </c>
      <c r="M121" s="40">
        <f>E121-'січень '!E121</f>
        <v>0</v>
      </c>
      <c r="N121" s="40">
        <f>F121-'січень '!F121</f>
        <v>593.1600000000001</v>
      </c>
      <c r="O121" s="53">
        <f t="shared" si="41"/>
        <v>593.1600000000001</v>
      </c>
      <c r="P121" s="60" t="e">
        <f t="shared" si="42"/>
        <v>#DIV/0!</v>
      </c>
      <c r="Q121" s="60">
        <f>N121-50.2</f>
        <v>542.96</v>
      </c>
      <c r="R121" s="138">
        <f>N121/50.2</f>
        <v>11.81593625498008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87.4</v>
      </c>
      <c r="G122" s="49">
        <f t="shared" si="37"/>
        <v>87.4</v>
      </c>
      <c r="H122" s="40" t="e">
        <f t="shared" si="39"/>
        <v>#DIV/0!</v>
      </c>
      <c r="I122" s="60">
        <f t="shared" si="38"/>
        <v>87.4</v>
      </c>
      <c r="J122" s="60" t="e">
        <f>F122/D122*100</f>
        <v>#DIV/0!</v>
      </c>
      <c r="K122" s="60">
        <f>F122-306.8</f>
        <v>-219.4</v>
      </c>
      <c r="L122" s="138">
        <f>F122/306.8</f>
        <v>0.2848761408083442</v>
      </c>
      <c r="M122" s="40">
        <f>E122-'січень '!E122</f>
        <v>0</v>
      </c>
      <c r="N122" s="40">
        <f>F122-'січень '!F122</f>
        <v>86.35000000000001</v>
      </c>
      <c r="O122" s="53">
        <f t="shared" si="41"/>
        <v>86.35000000000001</v>
      </c>
      <c r="P122" s="60" t="e">
        <f t="shared" si="42"/>
        <v>#DIV/0!</v>
      </c>
      <c r="Q122" s="60">
        <f>N122-292.3</f>
        <v>-205.95</v>
      </c>
      <c r="R122" s="138">
        <f>N122/292.3</f>
        <v>0.2954156688333904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15519.6</v>
      </c>
      <c r="F123" s="38">
        <f>F119+F120+F121+F122+F118</f>
        <v>18545.200000000004</v>
      </c>
      <c r="G123" s="62">
        <f t="shared" si="37"/>
        <v>3025.600000000004</v>
      </c>
      <c r="H123" s="72">
        <f t="shared" si="39"/>
        <v>119.49534781824276</v>
      </c>
      <c r="I123" s="61">
        <f t="shared" si="38"/>
        <v>-7442.184999999994</v>
      </c>
      <c r="J123" s="61">
        <f>F123/D123*100</f>
        <v>71.36231675484088</v>
      </c>
      <c r="K123" s="61">
        <f>F123-15573.7</f>
        <v>2971.5000000000036</v>
      </c>
      <c r="L123" s="139">
        <f>F123/15573.7</f>
        <v>1.1908024425794772</v>
      </c>
      <c r="M123" s="62">
        <f>M119+M120+M121+M122+M118</f>
        <v>8040</v>
      </c>
      <c r="N123" s="62">
        <f>N119+N120+N121+N122+N118</f>
        <v>10559.92</v>
      </c>
      <c r="O123" s="61">
        <f t="shared" si="41"/>
        <v>2519.92</v>
      </c>
      <c r="P123" s="61">
        <f t="shared" si="42"/>
        <v>131.34228855721392</v>
      </c>
      <c r="Q123" s="61">
        <f>N123-8732.6</f>
        <v>1827.3199999999997</v>
      </c>
      <c r="R123" s="139">
        <f>N123/8732.6</f>
        <v>1.2092526853399903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5.16</v>
      </c>
      <c r="F124" s="33">
        <v>0.16</v>
      </c>
      <c r="G124" s="49">
        <f t="shared" si="37"/>
        <v>-5</v>
      </c>
      <c r="H124" s="40">
        <f t="shared" si="39"/>
        <v>3.10077519379845</v>
      </c>
      <c r="I124" s="60">
        <f t="shared" si="38"/>
        <v>-43.34</v>
      </c>
      <c r="J124" s="60">
        <f>F124/D124*100</f>
        <v>0.367816091954023</v>
      </c>
      <c r="K124" s="60">
        <f>F124-26.5</f>
        <v>-26.34</v>
      </c>
      <c r="L124" s="138">
        <f>F124/26.5</f>
        <v>0.0060377358490566035</v>
      </c>
      <c r="M124" s="40">
        <f>E124-'січень '!E124</f>
        <v>5</v>
      </c>
      <c r="N124" s="40">
        <f>F124-'січень '!F124</f>
        <v>0</v>
      </c>
      <c r="O124" s="53">
        <f t="shared" si="41"/>
        <v>-5</v>
      </c>
      <c r="P124" s="60">
        <f t="shared" si="42"/>
        <v>0</v>
      </c>
      <c r="Q124" s="60">
        <f>N124-26.2</f>
        <v>-26.2</v>
      </c>
      <c r="R124" s="138">
        <f>N124/26.2</f>
        <v>0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E125-'січень '!E125</f>
        <v>0</v>
      </c>
      <c r="N125" s="40">
        <f>F125-'січень '!F125</f>
        <v>0</v>
      </c>
      <c r="O125" s="53">
        <f t="shared" si="41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E126-'січень '!E126</f>
        <v>0</v>
      </c>
      <c r="N126" s="40">
        <f>F126-'січень '!F126</f>
        <v>0</v>
      </c>
      <c r="O126" s="53"/>
      <c r="P126" s="63"/>
      <c r="Q126" s="63">
        <f>N126-8.4</f>
        <v>-8.4</v>
      </c>
      <c r="R126" s="140">
        <f>N126/8.4</f>
        <v>0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3484.64</v>
      </c>
      <c r="G127" s="49">
        <f aca="true" t="shared" si="43" ref="G127:G134">F127-E127</f>
        <v>977.1399999999999</v>
      </c>
      <c r="H127" s="40">
        <f>F127/E127*100</f>
        <v>138.96869391824526</v>
      </c>
      <c r="I127" s="60">
        <f aca="true" t="shared" si="44" ref="I127:I134">F127-D127</f>
        <v>-5215.360000000001</v>
      </c>
      <c r="J127" s="60">
        <f>F127/D127*100</f>
        <v>40.05333333333333</v>
      </c>
      <c r="K127" s="60">
        <f>F127-2439.3</f>
        <v>1045.3399999999997</v>
      </c>
      <c r="L127" s="138">
        <f>F127/2439.3</f>
        <v>1.4285409748698394</v>
      </c>
      <c r="M127" s="40">
        <f>E127-'січень '!E127</f>
        <v>2490.1</v>
      </c>
      <c r="N127" s="40">
        <f>F127-'січень '!F127</f>
        <v>3466.97</v>
      </c>
      <c r="O127" s="53">
        <f aca="true" t="shared" si="45" ref="O127:O134">N127-M127</f>
        <v>976.8699999999999</v>
      </c>
      <c r="P127" s="60">
        <f>N127/M127*100</f>
        <v>139.23015139954217</v>
      </c>
      <c r="Q127" s="60">
        <f>N127-2355</f>
        <v>1111.9699999999998</v>
      </c>
      <c r="R127" s="138">
        <f>N127/2355</f>
        <v>1.4721740976645434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-0.23</v>
      </c>
      <c r="G128" s="49">
        <f t="shared" si="43"/>
        <v>-0.23</v>
      </c>
      <c r="H128" s="40"/>
      <c r="I128" s="60">
        <f t="shared" si="44"/>
        <v>-0.23</v>
      </c>
      <c r="J128" s="60"/>
      <c r="K128" s="60">
        <f>F128-0.3</f>
        <v>-0.53</v>
      </c>
      <c r="L128" s="138">
        <f>F128/0.3</f>
        <v>-0.7666666666666667</v>
      </c>
      <c r="M128" s="40">
        <f>E128-'січень '!E128</f>
        <v>0</v>
      </c>
      <c r="N128" s="40">
        <f>F128-'січень '!F128</f>
        <v>-0.020000000000000018</v>
      </c>
      <c r="O128" s="53">
        <f t="shared" si="45"/>
        <v>-0.020000000000000018</v>
      </c>
      <c r="P128" s="60"/>
      <c r="Q128" s="60">
        <f>N128-0.1</f>
        <v>-0.12000000000000002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2519.8599999999997</v>
      </c>
      <c r="F129" s="38">
        <f>F127+F124+F128+F126</f>
        <v>3493.33</v>
      </c>
      <c r="G129" s="62">
        <f t="shared" si="43"/>
        <v>973.4700000000003</v>
      </c>
      <c r="H129" s="72">
        <f>F129/E129*100</f>
        <v>138.6319081218798</v>
      </c>
      <c r="I129" s="61">
        <f t="shared" si="44"/>
        <v>-5257.370000000001</v>
      </c>
      <c r="J129" s="61">
        <f>F129/D129*100</f>
        <v>39.920577782348836</v>
      </c>
      <c r="K129" s="61">
        <f>F129-2474.4</f>
        <v>1018.9299999999998</v>
      </c>
      <c r="L129" s="139">
        <f>G129/2474.4</f>
        <v>0.39341658583899136</v>
      </c>
      <c r="M129" s="62">
        <f>M124+M127+M128+M126</f>
        <v>2495.1</v>
      </c>
      <c r="N129" s="62">
        <f>N124+N127+N128+N126</f>
        <v>3466.95</v>
      </c>
      <c r="O129" s="61">
        <f t="shared" si="45"/>
        <v>971.8499999999999</v>
      </c>
      <c r="P129" s="61">
        <f>N129/M129*100</f>
        <v>138.9503426716364</v>
      </c>
      <c r="Q129" s="61">
        <f>N129-2389.7</f>
        <v>1077.25</v>
      </c>
      <c r="R129" s="137">
        <f>N129/2389.7</f>
        <v>1.4507888019416664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0.85</v>
      </c>
      <c r="F130" s="33">
        <v>1.98</v>
      </c>
      <c r="G130" s="49">
        <f>F130-E130</f>
        <v>1.13</v>
      </c>
      <c r="H130" s="40">
        <f>F130/E130*100</f>
        <v>232.94117647058826</v>
      </c>
      <c r="I130" s="60">
        <f>F130-D130</f>
        <v>-28.02</v>
      </c>
      <c r="J130" s="60">
        <f>F130/D130*100</f>
        <v>6.6000000000000005</v>
      </c>
      <c r="K130" s="60">
        <f>F130-1</f>
        <v>0.98</v>
      </c>
      <c r="L130" s="138">
        <f>F130/1</f>
        <v>1.98</v>
      </c>
      <c r="M130" s="40">
        <f>E130-'січень '!E130</f>
        <v>0.39999999999999997</v>
      </c>
      <c r="N130" s="40">
        <f>F130-'січень '!F130</f>
        <v>1.53</v>
      </c>
      <c r="O130" s="53">
        <f>N130-M130</f>
        <v>1.1300000000000001</v>
      </c>
      <c r="P130" s="60">
        <f>N130/M130*100</f>
        <v>382.5</v>
      </c>
      <c r="Q130" s="60">
        <f>N130-0.5</f>
        <v>1.03</v>
      </c>
      <c r="R130" s="138">
        <f>N130/0.5</f>
        <v>3.06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E131-'січень '!E131</f>
        <v>0</v>
      </c>
      <c r="N131" s="40">
        <f>F131-'січень '!F131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E132-'січень '!E132</f>
        <v>0</v>
      </c>
      <c r="N132" s="40">
        <f>F132-'січень '!F132</f>
        <v>0</v>
      </c>
      <c r="O132" s="53">
        <f t="shared" si="45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18473.91</v>
      </c>
      <c r="F133" s="31">
        <f>F116+F130+F123+F129+F132+F131</f>
        <v>22263.83</v>
      </c>
      <c r="G133" s="50">
        <f t="shared" si="43"/>
        <v>3789.920000000002</v>
      </c>
      <c r="H133" s="51">
        <f>F133/E133*100</f>
        <v>120.51498572852202</v>
      </c>
      <c r="I133" s="36">
        <f t="shared" si="44"/>
        <v>-16443.854999999996</v>
      </c>
      <c r="J133" s="36">
        <f>F133/D133*100</f>
        <v>57.51785465857749</v>
      </c>
      <c r="K133" s="36">
        <f>F133-18698.1</f>
        <v>3565.730000000003</v>
      </c>
      <c r="L133" s="136">
        <f>F133/18698.1</f>
        <v>1.1907001246115918</v>
      </c>
      <c r="M133" s="31">
        <f>M116+M130+M123+M129+M132+M131</f>
        <v>10876.5</v>
      </c>
      <c r="N133" s="31">
        <f>N116+N130+N123+N129+N132+N131</f>
        <v>14158.869999999999</v>
      </c>
      <c r="O133" s="36">
        <f t="shared" si="45"/>
        <v>3282.369999999999</v>
      </c>
      <c r="P133" s="36">
        <f>N133/M133*100</f>
        <v>130.17855008504574</v>
      </c>
      <c r="Q133" s="36">
        <f>N133-11501.6</f>
        <v>2657.2699999999986</v>
      </c>
      <c r="R133" s="136">
        <f>N133/11501.6</f>
        <v>1.2310348125478192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94409.91</v>
      </c>
      <c r="F134" s="31">
        <f>F106+F133</f>
        <v>93684.29000000001</v>
      </c>
      <c r="G134" s="50">
        <f t="shared" si="43"/>
        <v>-725.6199999999953</v>
      </c>
      <c r="H134" s="51">
        <f>F134/E134*100</f>
        <v>99.2314154308589</v>
      </c>
      <c r="I134" s="36">
        <f t="shared" si="44"/>
        <v>-482063.2949999999</v>
      </c>
      <c r="J134" s="36">
        <f>F134/D134*100</f>
        <v>16.271764301017434</v>
      </c>
      <c r="K134" s="36">
        <f>F134-93999</f>
        <v>-314.70999999999185</v>
      </c>
      <c r="L134" s="136">
        <f>F134/93999</f>
        <v>0.996651985659422</v>
      </c>
      <c r="M134" s="22">
        <f>M106+M133</f>
        <v>49983.6</v>
      </c>
      <c r="N134" s="22">
        <f>N106+N133</f>
        <v>50811.33</v>
      </c>
      <c r="O134" s="36">
        <f t="shared" si="45"/>
        <v>827.7300000000032</v>
      </c>
      <c r="P134" s="36">
        <f>N134/M134*100</f>
        <v>101.65600316903945</v>
      </c>
      <c r="Q134" s="36">
        <f>N134-52280.8</f>
        <v>-1469.4700000000012</v>
      </c>
      <c r="R134" s="136">
        <f>N134/52280.8</f>
        <v>0.9718927407384738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8"/>
      <c r="H137" s="198"/>
      <c r="I137" s="198"/>
      <c r="J137" s="198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41698</v>
      </c>
      <c r="D138" s="39">
        <v>5196.6</v>
      </c>
      <c r="N138" s="193"/>
      <c r="O138" s="193"/>
    </row>
    <row r="139" spans="3:15" ht="15.75">
      <c r="C139" s="120">
        <v>41697</v>
      </c>
      <c r="D139" s="39">
        <v>2276.8</v>
      </c>
      <c r="F139" s="4" t="s">
        <v>166</v>
      </c>
      <c r="G139" s="189" t="s">
        <v>151</v>
      </c>
      <c r="H139" s="189"/>
      <c r="I139" s="115">
        <v>13825.22</v>
      </c>
      <c r="J139" s="190" t="s">
        <v>161</v>
      </c>
      <c r="K139" s="190"/>
      <c r="L139" s="190"/>
      <c r="M139" s="190"/>
      <c r="N139" s="193"/>
      <c r="O139" s="193"/>
    </row>
    <row r="140" spans="3:15" ht="15.75">
      <c r="C140" s="120">
        <v>41696</v>
      </c>
      <c r="D140" s="39">
        <v>3746.1</v>
      </c>
      <c r="G140" s="191" t="s">
        <v>155</v>
      </c>
      <c r="H140" s="191"/>
      <c r="I140" s="112">
        <v>0</v>
      </c>
      <c r="J140" s="192" t="s">
        <v>162</v>
      </c>
      <c r="K140" s="192"/>
      <c r="L140" s="192"/>
      <c r="M140" s="192"/>
      <c r="N140" s="193"/>
      <c r="O140" s="193"/>
    </row>
    <row r="141" spans="7:13" ht="15.75" customHeight="1">
      <c r="G141" s="189" t="s">
        <v>148</v>
      </c>
      <c r="H141" s="189"/>
      <c r="I141" s="112">
        <f>'[1]залишки  (2)'!$G$8/1000</f>
        <v>0</v>
      </c>
      <c r="J141" s="190" t="s">
        <v>163</v>
      </c>
      <c r="K141" s="190"/>
      <c r="L141" s="190"/>
      <c r="M141" s="190"/>
    </row>
    <row r="142" spans="2:13" ht="18.75" customHeight="1">
      <c r="B142" s="187" t="s">
        <v>160</v>
      </c>
      <c r="C142" s="188"/>
      <c r="D142" s="117">
        <v>121970.53</v>
      </c>
      <c r="E142" s="80"/>
      <c r="F142" s="100" t="s">
        <v>147</v>
      </c>
      <c r="G142" s="189" t="s">
        <v>149</v>
      </c>
      <c r="H142" s="189"/>
      <c r="I142" s="116">
        <v>108145.31</v>
      </c>
      <c r="J142" s="190" t="s">
        <v>164</v>
      </c>
      <c r="K142" s="190"/>
      <c r="L142" s="190"/>
      <c r="M142" s="190"/>
    </row>
    <row r="143" spans="7:12" ht="9.75" customHeight="1">
      <c r="G143" s="183"/>
      <c r="H143" s="183"/>
      <c r="I143" s="98"/>
      <c r="J143" s="99"/>
      <c r="K143" s="99"/>
      <c r="L143" s="99"/>
    </row>
    <row r="144" spans="2:12" ht="22.5" customHeight="1">
      <c r="B144" s="184" t="s">
        <v>169</v>
      </c>
      <c r="C144" s="185"/>
      <c r="D144" s="119">
        <v>0</v>
      </c>
      <c r="E144" s="77" t="s">
        <v>104</v>
      </c>
      <c r="G144" s="183"/>
      <c r="H144" s="183"/>
      <c r="I144" s="98"/>
      <c r="J144" s="99"/>
      <c r="K144" s="99"/>
      <c r="L144" s="99"/>
    </row>
    <row r="145" spans="4:15" ht="15.75">
      <c r="D145" s="114"/>
      <c r="N145" s="183"/>
      <c r="O145" s="183"/>
    </row>
    <row r="146" spans="4:15" ht="15.75">
      <c r="D146" s="113"/>
      <c r="I146" s="39"/>
      <c r="N146" s="186"/>
      <c r="O146" s="186"/>
    </row>
    <row r="147" spans="14:15" ht="15.75">
      <c r="N147" s="183"/>
      <c r="O147" s="183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4" right="0.18" top="0.2" bottom="0.39" header="0.17" footer="0.29"/>
  <pageSetup fitToHeight="1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2014-10-02T13:00:21Z</cp:lastPrinted>
  <dcterms:created xsi:type="dcterms:W3CDTF">2003-07-28T11:27:56Z</dcterms:created>
  <dcterms:modified xsi:type="dcterms:W3CDTF">2014-10-03T11:15:07Z</dcterms:modified>
  <cp:category/>
  <cp:version/>
  <cp:contentType/>
  <cp:contentStatus/>
</cp:coreProperties>
</file>